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60" windowWidth="12120" windowHeight="9120"/>
  </bookViews>
  <sheets>
    <sheet name="Анализ бюджета" sheetId="1" r:id="rId1"/>
  </sheets>
  <definedNames>
    <definedName name="Z_08EF82CC_B73D_4976_854E_2FADDE1EDAB4_.wvu.PrintArea" localSheetId="0" hidden="1">'Анализ бюджета'!$A$1:$N$261</definedName>
    <definedName name="Z_08EF82CC_B73D_4976_854E_2FADDE1EDAB4_.wvu.PrintTitles" localSheetId="0" hidden="1">'Анализ бюджета'!$4:$5</definedName>
    <definedName name="Z_0B13C6EA_3679_47F2_82B5_7AF3B83AB801_.wvu.Cols" localSheetId="0" hidden="1">'Анализ бюджета'!$E:$E,'Анализ бюджета'!$J:$J</definedName>
    <definedName name="Z_0B13C6EA_3679_47F2_82B5_7AF3B83AB801_.wvu.PrintArea" localSheetId="0" hidden="1">'Анализ бюджета'!$A$1:$N$256</definedName>
    <definedName name="Z_0B13C6EA_3679_47F2_82B5_7AF3B83AB801_.wvu.PrintTitles" localSheetId="0" hidden="1">'Анализ бюджета'!$4:$5</definedName>
    <definedName name="Z_0B13C6EA_3679_47F2_82B5_7AF3B83AB801_.wvu.Rows" localSheetId="0" hidden="1"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definedName>
    <definedName name="Z_0BD4437E_22A9_4FBD_A5E2_5BE85718F571_.wvu.PrintArea" localSheetId="0" hidden="1">'Анализ бюджета'!$A$1:$N$261</definedName>
    <definedName name="Z_0BD4437E_22A9_4FBD_A5E2_5BE85718F571_.wvu.PrintTitles" localSheetId="0" hidden="1">'Анализ бюджета'!$4:$5</definedName>
    <definedName name="Z_10971261_6A6B_11D7_802E_0050224027E0_.wvu.PrintArea" localSheetId="0" hidden="1">'Анализ бюджета'!$A$1:$M$260</definedName>
    <definedName name="Z_10971261_6A6B_11D7_802E_0050224027E0_.wvu.PrintTitles" localSheetId="0" hidden="1">'Анализ бюджета'!$4:$4</definedName>
    <definedName name="Z_14012921_CBF7_11D7_980F_000102998381_.wvu.PrintTitles" localSheetId="0" hidden="1">'Анализ бюджета'!$4:$4</definedName>
    <definedName name="Z_19D3A214_C4D6_4FE6_9A50_A9E846DFEC72_.wvu.PrintArea" localSheetId="0" hidden="1">'Анализ бюджета'!$A$1:$M$261</definedName>
    <definedName name="Z_22CDF957_2E06_4FE0_AA9C_8AF24FC17F35_.wvu.Cols" localSheetId="0" hidden="1">'Анализ бюджета'!$E:$E,'Анализ бюджета'!$J:$J</definedName>
    <definedName name="Z_22CDF957_2E06_4FE0_AA9C_8AF24FC17F35_.wvu.PrintArea" localSheetId="0" hidden="1">'Анализ бюджета'!$A$1:$N$256</definedName>
    <definedName name="Z_22CDF957_2E06_4FE0_AA9C_8AF24FC17F35_.wvu.PrintTitles" localSheetId="0" hidden="1">'Анализ бюджета'!$4:$5</definedName>
    <definedName name="Z_22CDF957_2E06_4FE0_AA9C_8AF24FC17F35_.wvu.Rows" localSheetId="0" hidden="1"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definedName>
    <definedName name="Z_4F278C51_CC0C_4908_B19B_FD853FE30C23_.wvu.PrintArea" localSheetId="0" hidden="1">'Анализ бюджета'!$A$1:$M$260</definedName>
    <definedName name="Z_4F278C51_CC0C_4908_B19B_FD853FE30C23_.wvu.PrintTitles" localSheetId="0" hidden="1">'Анализ бюджета'!$4:$4</definedName>
    <definedName name="Z_4F278C51_CC0C_4908_B19B_FD853FE30C23_.wvu.Rows" localSheetId="0" hidden="1">'Анализ бюджета'!#REF!,'Анализ бюджета'!$17:$17,'Анализ бюджета'!$19:$20,'Анализ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6B5A71DB_8104_43F2_BE21_9362D50D2638_.wvu.PrintArea" localSheetId="0" hidden="1">'Анализ бюджета'!$A$1:$N$261</definedName>
    <definedName name="Z_6B5A71DB_8104_43F2_BE21_9362D50D2638_.wvu.PrintTitles" localSheetId="0" hidden="1">'Анализ бюджета'!$4:$5</definedName>
    <definedName name="Z_6B5A71DB_8104_43F2_BE21_9362D50D2638_.wvu.Rows" localSheetId="0" hidden="1">'Анализ бюджета'!$54:$55,'Анализ бюджета'!#REF!,'Анализ бюджета'!$197:$197</definedName>
    <definedName name="Z_735893B7_5E6F_4E87_8F79_7422E435EC59_.wvu.PrintArea" localSheetId="0" hidden="1">'Анализ бюджета'!$A$1:$M$263</definedName>
    <definedName name="Z_7BE5A02B_F350_49A6_9913_9C71C08559EF_.wvu.Rows" localSheetId="0" hidden="1">'Анализ бюджета'!#REF!</definedName>
    <definedName name="Z_88FCA060_646D_11D8_9232_00C0268CB387_.wvu.Rows" localSheetId="0" hidden="1">'Анализ бюджета'!$34:$47</definedName>
    <definedName name="Z_8F58F720_5478_11D7_8E43_00002120D636_.wvu.PrintArea" localSheetId="0" hidden="1">'Анализ бюджета'!$A$2:$M$85</definedName>
    <definedName name="Z_8F58F720_5478_11D7_8E43_00002120D636_.wvu.PrintTitles" localSheetId="0" hidden="1">'Анализ бюджета'!$4:$4</definedName>
    <definedName name="Z_91C1DC54_C312_471D_9246_B789B002B742_.wvu.PrintArea" localSheetId="0" hidden="1">'Анализ бюджета'!$A$1:$N$261</definedName>
    <definedName name="Z_91C1DC54_C312_471D_9246_B789B002B742_.wvu.PrintTitles" localSheetId="0" hidden="1">'Анализ бюджета'!$4:$5</definedName>
    <definedName name="Z_91C1DC54_C312_471D_9246_B789B002B742_.wvu.Rows" localSheetId="0" hidden="1">'Анализ бюджета'!$54:$55,'Анализ бюджета'!#REF!,'Анализ бюджета'!#REF!,'Анализ бюджета'!$197:$197</definedName>
    <definedName name="Z_92DADDC1_9BFC_11D7_B114_000102998381_.wvu.PrintTitles" localSheetId="0" hidden="1">'Анализ бюджета'!$4:$4</definedName>
    <definedName name="Z_97B5DCE1_CCA4_11D7_B6CC_0007E980B7D4_.wvu.PrintArea" localSheetId="0" hidden="1">'Анализ бюджета'!$A$1:$M$263</definedName>
    <definedName name="Z_97B5DCE1_CCA4_11D7_B6CC_0007E980B7D4_.wvu.Rows" localSheetId="0" hidden="1">'Анализ бюджета'!#REF!,'Анализ бюджета'!$34:$47</definedName>
    <definedName name="Z_A91D99C2_8122_48C0_91AB_172E51C62B1D_.wvu.PrintArea" localSheetId="0" hidden="1">'Анализ бюджета'!$A$1:$M$260</definedName>
    <definedName name="Z_A91D99C2_8122_48C0_91AB_172E51C62B1D_.wvu.Rows" localSheetId="0" hidden="1">'Анализ бюджета'!#REF!</definedName>
    <definedName name="Z_AE4F8834_9834_4486_A1C0_FEF04E11EC4A_.wvu.PrintTitles" localSheetId="0" hidden="1">'Анализ бюджета'!$4:$4</definedName>
    <definedName name="Z_B0C63354_C39E_4697_B077_F68D4BA3474A_.wvu.PrintTitles" localSheetId="0" hidden="1">'Анализ бюджета'!$4:$4</definedName>
    <definedName name="Z_C76330A2_057D_4E27_B720_532A3C304D14_.wvu.PrintArea" localSheetId="0" hidden="1">'Анализ бюджета'!$A$1:$N$261</definedName>
    <definedName name="Z_C76330A2_057D_4E27_B720_532A3C304D14_.wvu.PrintTitles" localSheetId="0" hidden="1">'Анализ бюджета'!$4:$5</definedName>
    <definedName name="Z_C76330A2_057D_4E27_B720_532A3C304D14_.wvu.Rows" localSheetId="0" hidden="1">'Анализ бюджета'!$197:$197</definedName>
    <definedName name="Z_CBC1421C_A5A0_43A0_A7F1_55772C8F0328_.wvu.Cols" localSheetId="0" hidden="1">'Анализ бюджета'!$E:$E,'Анализ бюджета'!$J:$J</definedName>
    <definedName name="Z_CBC1421C_A5A0_43A0_A7F1_55772C8F0328_.wvu.PrintArea" localSheetId="0" hidden="1">'Анализ бюджета'!$A$1:$N$256</definedName>
    <definedName name="Z_CBC1421C_A5A0_43A0_A7F1_55772C8F0328_.wvu.PrintTitles" localSheetId="0" hidden="1">'Анализ бюджета'!$4:$5</definedName>
    <definedName name="Z_CBC1421C_A5A0_43A0_A7F1_55772C8F0328_.wvu.Rows" localSheetId="0" hidden="1"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definedName>
    <definedName name="Z_CD228F81_555E_11D7_A5BE_0050BF58DBA5_.wvu.PrintTitles" localSheetId="0" hidden="1">'Анализ бюджета'!$4:$4</definedName>
    <definedName name="Z_CFB674C1_F40C_43C9_AC2B_719C7269531B_.wvu.PrintArea" localSheetId="0" hidden="1">'Анализ бюджета'!$A$1:$M$260</definedName>
    <definedName name="Z_CFB674C1_F40C_43C9_AC2B_719C7269531B_.wvu.PrintTitles" localSheetId="0" hidden="1">'Анализ бюджета'!$4:$4</definedName>
    <definedName name="Z_CFB674C1_F40C_43C9_AC2B_719C7269531B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D8CBB260_8D05_11D7_88E1_00C0268016AF_.wvu.PrintTitles" localSheetId="0" hidden="1">'Анализ бюджета'!$4:$4</definedName>
    <definedName name="Z_DCFE9E60_5475_11D7_802E_0050224027E0_.wvu.PrintTitles" localSheetId="0" hidden="1">'Анализ бюджета'!$4:$4</definedName>
    <definedName name="Z_DD5C3F45_D2CB_45EC_9051_F348430664E8_.wvu.Cols" localSheetId="0" hidden="1">'Анализ бюджета'!#REF!</definedName>
    <definedName name="Z_DD5C3F45_D2CB_45EC_9051_F348430664E8_.wvu.PrintArea" localSheetId="0" hidden="1">'Анализ бюджета'!$A$1:$N$261</definedName>
    <definedName name="Z_DD5C3F45_D2CB_45EC_9051_F348430664E8_.wvu.PrintTitles" localSheetId="0" hidden="1">'Анализ бюджета'!$4:$5</definedName>
    <definedName name="Z_DD5C3F45_D2CB_45EC_9051_F348430664E8_.wvu.Rows" localSheetId="0" hidden="1">'Анализ бюджета'!$54:$55,'Анализ бюджета'!#REF!,'Анализ бюджета'!$197:$197</definedName>
    <definedName name="Z_E64E5F61_FD5E_11DA_AA5B_0004761D6C8E_.wvu.PrintArea" localSheetId="0" hidden="1">'Анализ бюджета'!$A$1:$M$260</definedName>
    <definedName name="Z_E64E5F61_FD5E_11DA_AA5B_0004761D6C8E_.wvu.PrintTitles" localSheetId="0" hidden="1">'Анализ бюджета'!$4:$4</definedName>
    <definedName name="Z_E64E5F61_FD5E_11DA_AA5B_0004761D6C8E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Всего_доходов_2002">'Анализ бюджета'!#REF!</definedName>
    <definedName name="Всего_доходов_2003">'Анализ бюджета'!$H$84</definedName>
    <definedName name="Всего_расходов_2002">'Анализ бюджета'!#REF!</definedName>
    <definedName name="Всего_расходов_2003">'Анализ бюджета'!$H$177</definedName>
    <definedName name="_xlnm.Print_Titles" localSheetId="0">'Анализ бюджета'!$4:$5</definedName>
    <definedName name="_xlnm.Print_Area" localSheetId="0">'Анализ бюджета'!$A$1:$N$256</definedName>
  </definedNames>
  <calcPr calcId="162913" fullPrecision="0"/>
  <customWorkbookViews>
    <customWorkbookView name="ГайдуковаЛВ - Личное представление" guid="{0B13C6EA-3679-47F2-82B5-7AF3B83AB801}" mergeInterval="0" personalView="1" maximized="1" xWindow="1" yWindow="1" windowWidth="1276" windowHeight="790" activeSheetId="1"/>
    <customWorkbookView name="Аристова Кристина - Личное представление" guid="{CBC1421C-A5A0-43A0-A7F1-55772C8F0328}" mergeInterval="0" personalView="1" maximized="1" xWindow="-8" yWindow="-8" windowWidth="1456" windowHeight="876" activeSheetId="1"/>
    <customWorkbookView name="Прокопенко - Личное представление" guid="{0BD4437E-22A9-4FBD-A5E2-5BE85718F571}" mergeInterval="0" personalView="1" maximized="1" xWindow="1" yWindow="1" windowWidth="1276" windowHeight="803" activeSheetId="1"/>
    <customWorkbookView name="odegovann - Личное представление" guid="{08EF82CC-B73D-4976-854E-2FADDE1EDAB4}" mergeInterval="0" personalView="1" maximized="1" xWindow="1" yWindow="1" windowWidth="1276" windowHeight="803" activeSheetId="1"/>
    <customWorkbookView name="Степанченко Ю.В. - Личное представление" guid="{6B5A71DB-8104-43F2-BE21-9362D50D2638}" mergeInterval="0" personalView="1" maximized="1" xWindow="1" yWindow="1" windowWidth="1276" windowHeight="803" activeSheetId="1"/>
    <customWorkbookView name="Лаврушин Д.Б. - Личное представление" guid="{D467516B-79C5-4C0A-A5E2-1E73FB77BFFC}" mergeInterval="0" personalView="1" maximized="1" windowWidth="1148" windowHeight="673" activeSheetId="1"/>
    <customWorkbookView name="Budg2 - Личное представление" guid="{7BE5A02B-F350-49A6-9913-9C71C08559EF}" mergeInterval="0" personalView="1" maximized="1" windowWidth="1009" windowHeight="588" activeSheetId="1"/>
    <customWorkbookView name="Сергей Медведев - Личное представление" guid="{14B9A1CF-2355-4181-A84E-C897271F378C}" mergeInterval="0" personalView="1" maximized="1" windowWidth="1148" windowHeight="692" tabRatio="184" activeSheetId="1"/>
    <customWorkbookView name="Якушина Л.А. - Личное представление" guid="{CFB674C1-F40C-43C9-AC2B-719C7269531B}" mergeInterval="0" personalView="1" maximized="1" windowWidth="1276" windowHeight="852" activeSheetId="1"/>
    <customWorkbookView name="МФ - Личное представление" guid="{E64E5F61-FD5E-11DA-AA5B-0004761D6C8E}" mergeInterval="0" personalView="1" maximized="1" windowWidth="796" windowHeight="438" activeSheetId="1"/>
    <customWorkbookView name="Лаврушин Дмитрий Борисович - Личное представление" guid="{D8CBB260-8D05-11D7-88E1-00C0268016AF}" mergeInterval="0" personalView="1" maximized="1" windowWidth="1020" windowHeight="606" activeSheetId="1" showComments="commNone"/>
    <customWorkbookView name="* - Личное представление" guid="{97B5DCE1-CCA4-11D7-B6CC-0007E980B7D4}" mergeInterval="0" personalView="1" maximized="1" windowWidth="1020" windowHeight="606" activeSheetId="1" showComments="commIndAndComment"/>
    <customWorkbookView name="Лариса - Личное представление" guid="{14012921-CBF7-11D7-980F-000102998381}" mergeInterval="0" personalView="1" maximized="1" windowWidth="1020" windowHeight="632" activeSheetId="1"/>
    <customWorkbookView name="_ - Личное представление" guid="{B0C63354-C39E-4697-B077-F68D4BA3474A}" mergeInterval="0" personalView="1" maximized="1" windowWidth="796" windowHeight="438" activeSheetId="1" showComments="commIndAndComment"/>
    <customWorkbookView name="Elena - Личное представление" guid="{8F58F720-5478-11D7-8E43-00002120D636}" mergeInterval="0" personalView="1" maximized="1" windowWidth="796" windowHeight="438" activeSheetId="1"/>
    <customWorkbookView name="oit - Личное представление" guid="{92DADDC1-9BFC-11D7-B114-000102998381}" mergeInterval="0" personalView="1" maximized="1" windowWidth="1020" windowHeight="579" activeSheetId="1"/>
    <customWorkbookView name="Tatyana - Личное представление" guid="{CD228F81-555E-11D7-A5BE-0050BF58DBA5}" mergeInterval="0" personalView="1" maximized="1" windowWidth="796" windowHeight="438" activeSheetId="1"/>
    <customWorkbookView name="Хламова - Личное представление" guid="{DCFE9E60-5475-11D7-802E-0050224027E0}" mergeInterval="0" personalView="1" maximized="1" windowWidth="796" windowHeight="456" activeSheetId="1" showStatusbar="0"/>
    <customWorkbookView name="Athlon - Личное представление" guid="{AE4F8834-9834-4486-A1C0-FEF04E11EC4A}" mergeInterval="0" personalView="1" maximized="1" windowWidth="1020" windowHeight="587" activeSheetId="1"/>
    <customWorkbookView name="serg - Личное представление" guid="{735893B7-5E6F-4E87-8F79-7422E435EC59}" mergeInterval="0" personalView="1" maximized="1" windowWidth="636" windowHeight="341" activeSheetId="1"/>
    <customWorkbookView name="MF - Личное представление" guid="{88FCA060-646D-11D8-9232-00C0268CB387}" mergeInterval="0" personalView="1" maximized="1" windowWidth="1020" windowHeight="606" activeSheetId="1"/>
    <customWorkbookView name="Budg_2 - Личное представление" guid="{3EDC6120-9ECF-11DA-86FE-0007E980B6BD}" mergeInterval="0" personalView="1" maximized="1" windowWidth="1020" windowHeight="606" activeSheetId="1"/>
    <customWorkbookView name="Трушина О.А. - Личное представление" guid="{A91D99C2-8122-48C0-91AB-172E51C62B1D}" mergeInterval="0" personalView="1" maximized="1" windowWidth="1276" windowHeight="884" tabRatio="126" activeSheetId="1"/>
    <customWorkbookView name="user - Личное представление" guid="{10971261-6A6B-11D7-802E-0050224027E0}" mergeInterval="0" personalView="1" maximized="1" xWindow="-9" yWindow="53" windowWidth="570" windowHeight="651" activeSheetId="1" showStatusbar="0"/>
    <customWorkbookView name="Сергей - Личное представление" guid="{4F278C51-CC0C-4908-B19B-FD853FE30C23}" mergeInterval="0" personalView="1" maximized="1" xWindow="1" yWindow="1" windowWidth="1280" windowHeight="806" tabRatio="205" activeSheetId="1"/>
    <customWorkbookView name="наташа - Личное представление" guid="{19D3A214-C4D6-4FE6-9A50-A9E846DFEC72}" mergeInterval="0" personalView="1" maximized="1" windowWidth="1276" windowHeight="884" activeSheetId="1"/>
    <customWorkbookView name="Fops - Личное представление" guid="{A3331C67-8A36-4D51-83F9-2D71D6F5E7BA}" mergeInterval="0" personalView="1" maximized="1" windowWidth="1020" windowHeight="614" activeSheetId="1" showStatusbar="0"/>
    <customWorkbookView name="vohmyakovaai - Личное представление" guid="{DD5C3F45-D2CB-45EC-9051-F348430664E8}" mergeInterval="0" personalView="1" maximized="1" xWindow="1" yWindow="1" windowWidth="1276" windowHeight="803" activeSheetId="1"/>
    <customWorkbookView name="haldeevagv - Личное представление" guid="{91C1DC54-C312-471D-9246-B789B002B742}" mergeInterval="0" personalView="1" maximized="1" xWindow="1" yWindow="1" windowWidth="1148" windowHeight="643" activeSheetId="1" showComments="commIndAndComment"/>
    <customWorkbookView name="taktashovaev - Личное представление" guid="{C76330A2-057D-4E27-B720-532A3C304D14}" mergeInterval="0" personalView="1" maximized="1" xWindow="1" yWindow="1" windowWidth="1276" windowHeight="739" activeSheetId="1"/>
    <customWorkbookView name="РейнгардтЕН - Личное представление" guid="{22CDF957-2E06-4FE0-AA9C-8AF24FC17F35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M78" i="1"/>
  <c r="M79"/>
  <c r="M80"/>
  <c r="M82"/>
  <c r="M83"/>
  <c r="M77"/>
  <c r="M76"/>
  <c r="M59"/>
  <c r="M61"/>
  <c r="M44"/>
  <c r="M46"/>
  <c r="M37"/>
  <c r="M31"/>
  <c r="M153" l="1"/>
  <c r="M191"/>
  <c r="M190"/>
  <c r="M189"/>
  <c r="M188"/>
  <c r="M187"/>
  <c r="M230"/>
  <c r="K185"/>
  <c r="K212"/>
  <c r="K224"/>
  <c r="K187"/>
  <c r="K188"/>
  <c r="K189"/>
  <c r="K139"/>
  <c r="K140"/>
  <c r="K141"/>
  <c r="K142"/>
  <c r="K77"/>
  <c r="K78"/>
  <c r="K75"/>
  <c r="K74"/>
  <c r="K59"/>
  <c r="K60"/>
  <c r="K61"/>
  <c r="K31"/>
  <c r="H37" l="1"/>
  <c r="G37"/>
  <c r="L43"/>
  <c r="N43"/>
  <c r="L42"/>
  <c r="N42"/>
  <c r="N81"/>
  <c r="L81"/>
  <c r="L41"/>
  <c r="N41"/>
  <c r="N40"/>
  <c r="M40"/>
  <c r="L40"/>
  <c r="K40"/>
  <c r="F32" l="1"/>
  <c r="F23"/>
  <c r="G79"/>
  <c r="J36"/>
  <c r="C23"/>
  <c r="G23"/>
  <c r="H70"/>
  <c r="G70"/>
  <c r="F70"/>
  <c r="J75"/>
  <c r="L75"/>
  <c r="M75"/>
  <c r="N75"/>
  <c r="N52"/>
  <c r="L52"/>
  <c r="N51"/>
  <c r="L51"/>
  <c r="N50"/>
  <c r="L50"/>
  <c r="N49"/>
  <c r="L49"/>
  <c r="G47"/>
  <c r="D32"/>
  <c r="D70"/>
  <c r="F37"/>
  <c r="K37" s="1"/>
  <c r="D37"/>
  <c r="N39"/>
  <c r="M39"/>
  <c r="L39"/>
  <c r="K39"/>
  <c r="N38"/>
  <c r="M38"/>
  <c r="L38"/>
  <c r="K38"/>
  <c r="H32" l="1"/>
  <c r="G32"/>
  <c r="G22" s="1"/>
  <c r="N36"/>
  <c r="M36"/>
  <c r="L36"/>
  <c r="N35"/>
  <c r="M35"/>
  <c r="L35"/>
  <c r="K36"/>
  <c r="K35"/>
  <c r="J35"/>
  <c r="F125" l="1"/>
  <c r="F169"/>
  <c r="F160"/>
  <c r="F157"/>
  <c r="F151" s="1"/>
  <c r="F136" s="1"/>
  <c r="F148"/>
  <c r="F128"/>
  <c r="F119"/>
  <c r="F113"/>
  <c r="F107"/>
  <c r="F87"/>
  <c r="H157"/>
  <c r="H128"/>
  <c r="H113"/>
  <c r="F111" l="1"/>
  <c r="F104" s="1"/>
  <c r="L105"/>
  <c r="M105"/>
  <c r="N105"/>
  <c r="D113"/>
  <c r="D157"/>
  <c r="G107"/>
  <c r="G204" l="1"/>
  <c r="G197"/>
  <c r="F197"/>
  <c r="H197" s="1"/>
  <c r="G179"/>
  <c r="K58" l="1"/>
  <c r="M154" l="1"/>
  <c r="K123"/>
  <c r="K156"/>
  <c r="H47" l="1"/>
  <c r="K73" l="1"/>
  <c r="K66"/>
  <c r="K25"/>
  <c r="D23"/>
  <c r="H23"/>
  <c r="N29"/>
  <c r="M29"/>
  <c r="L29"/>
  <c r="K29"/>
  <c r="J29"/>
  <c r="N74" l="1"/>
  <c r="M74"/>
  <c r="L74"/>
  <c r="J74"/>
  <c r="L125" l="1"/>
  <c r="N147" l="1"/>
  <c r="M147"/>
  <c r="L147"/>
  <c r="D148"/>
  <c r="E148"/>
  <c r="G148"/>
  <c r="H148"/>
  <c r="C148"/>
  <c r="D137"/>
  <c r="M145"/>
  <c r="K145"/>
  <c r="L145"/>
  <c r="N145"/>
  <c r="N148" l="1"/>
  <c r="L148"/>
  <c r="M148"/>
  <c r="K182"/>
  <c r="K69" l="1"/>
  <c r="M30"/>
  <c r="K30"/>
  <c r="N73"/>
  <c r="M73"/>
  <c r="L73"/>
  <c r="J73"/>
  <c r="N69"/>
  <c r="M69"/>
  <c r="L69"/>
  <c r="H79"/>
  <c r="H65"/>
  <c r="G65"/>
  <c r="F65"/>
  <c r="D65"/>
  <c r="C65"/>
  <c r="L66"/>
  <c r="M66"/>
  <c r="N66"/>
  <c r="E70"/>
  <c r="C70"/>
  <c r="H68"/>
  <c r="G68"/>
  <c r="F68"/>
  <c r="D68"/>
  <c r="C68"/>
  <c r="H82"/>
  <c r="G82"/>
  <c r="F82"/>
  <c r="E82"/>
  <c r="D82"/>
  <c r="C82"/>
  <c r="N83"/>
  <c r="L83"/>
  <c r="K83"/>
  <c r="G64" l="1"/>
  <c r="D64"/>
  <c r="F64"/>
  <c r="H64"/>
  <c r="K65"/>
  <c r="M70"/>
  <c r="M65"/>
  <c r="L65"/>
  <c r="N65"/>
  <c r="J70"/>
  <c r="L70"/>
  <c r="N70"/>
  <c r="K70"/>
  <c r="M68"/>
  <c r="L68"/>
  <c r="N68"/>
  <c r="K68"/>
  <c r="L82"/>
  <c r="K82"/>
  <c r="N82"/>
  <c r="K144"/>
  <c r="K165"/>
  <c r="K162"/>
  <c r="K163"/>
  <c r="K164"/>
  <c r="H169"/>
  <c r="F228" l="1"/>
  <c r="F227"/>
  <c r="F226"/>
  <c r="K208"/>
  <c r="K210"/>
  <c r="K211"/>
  <c r="K222"/>
  <c r="K223"/>
  <c r="K225"/>
  <c r="N210" l="1"/>
  <c r="N211"/>
  <c r="M210"/>
  <c r="M211"/>
  <c r="L210"/>
  <c r="L211"/>
  <c r="C113" l="1"/>
  <c r="D213" l="1"/>
  <c r="E213"/>
  <c r="F213"/>
  <c r="G213"/>
  <c r="H213"/>
  <c r="C213"/>
  <c r="G253" l="1"/>
  <c r="G252"/>
  <c r="G244"/>
  <c r="G237"/>
  <c r="G235"/>
  <c r="G233"/>
  <c r="G231"/>
  <c r="G228"/>
  <c r="G227"/>
  <c r="G226"/>
  <c r="G219"/>
  <c r="G216" s="1"/>
  <c r="G256"/>
  <c r="G207"/>
  <c r="G206"/>
  <c r="G205"/>
  <c r="G195"/>
  <c r="G194" s="1"/>
  <c r="G192"/>
  <c r="G177"/>
  <c r="G160"/>
  <c r="G151"/>
  <c r="G137"/>
  <c r="G119"/>
  <c r="G111"/>
  <c r="G104" s="1"/>
  <c r="G87"/>
  <c r="G76"/>
  <c r="G57"/>
  <c r="G55"/>
  <c r="G19"/>
  <c r="G17"/>
  <c r="G14"/>
  <c r="G13" s="1"/>
  <c r="G11"/>
  <c r="G9"/>
  <c r="G8" s="1"/>
  <c r="N106"/>
  <c r="M106"/>
  <c r="M58"/>
  <c r="G54" l="1"/>
  <c r="G215"/>
  <c r="G136"/>
  <c r="G176"/>
  <c r="G16"/>
  <c r="G7" s="1"/>
  <c r="G254"/>
  <c r="G251"/>
  <c r="G239" l="1"/>
  <c r="G249" s="1"/>
  <c r="G6"/>
  <c r="G84" s="1"/>
  <c r="G248" s="1"/>
  <c r="F47"/>
  <c r="G247" l="1"/>
  <c r="G243" s="1"/>
  <c r="G241"/>
  <c r="H111" l="1"/>
  <c r="E169"/>
  <c r="F177"/>
  <c r="F192"/>
  <c r="F195"/>
  <c r="F194" s="1"/>
  <c r="F216"/>
  <c r="F233"/>
  <c r="F235"/>
  <c r="F237"/>
  <c r="D119"/>
  <c r="D107"/>
  <c r="C151"/>
  <c r="C160"/>
  <c r="N134"/>
  <c r="M134"/>
  <c r="L134"/>
  <c r="K134"/>
  <c r="C119"/>
  <c r="K175"/>
  <c r="K10"/>
  <c r="K12"/>
  <c r="K15"/>
  <c r="K18"/>
  <c r="K20"/>
  <c r="K21"/>
  <c r="K24"/>
  <c r="K26"/>
  <c r="K27"/>
  <c r="K28"/>
  <c r="K33"/>
  <c r="K34"/>
  <c r="K44"/>
  <c r="K46"/>
  <c r="K56"/>
  <c r="K63"/>
  <c r="K67"/>
  <c r="K71"/>
  <c r="K72"/>
  <c r="K80"/>
  <c r="K88"/>
  <c r="K89"/>
  <c r="K90"/>
  <c r="K92"/>
  <c r="K93"/>
  <c r="K94"/>
  <c r="K95"/>
  <c r="K96"/>
  <c r="K97"/>
  <c r="K99"/>
  <c r="K100"/>
  <c r="K101"/>
  <c r="K102"/>
  <c r="K103"/>
  <c r="K109"/>
  <c r="K110"/>
  <c r="K113"/>
  <c r="K114"/>
  <c r="K115"/>
  <c r="K116"/>
  <c r="K117"/>
  <c r="K120"/>
  <c r="K121"/>
  <c r="K122"/>
  <c r="K124"/>
  <c r="K125"/>
  <c r="K126"/>
  <c r="K127"/>
  <c r="K130"/>
  <c r="K131"/>
  <c r="K132"/>
  <c r="K135"/>
  <c r="K143"/>
  <c r="K154"/>
  <c r="K155"/>
  <c r="K157"/>
  <c r="K158"/>
  <c r="K161"/>
  <c r="K167"/>
  <c r="K168"/>
  <c r="K170"/>
  <c r="K171"/>
  <c r="K173"/>
  <c r="K174"/>
  <c r="K178"/>
  <c r="K179"/>
  <c r="K181"/>
  <c r="K193"/>
  <c r="K204"/>
  <c r="K214"/>
  <c r="K218"/>
  <c r="K236"/>
  <c r="K238"/>
  <c r="F215" l="1"/>
  <c r="F176"/>
  <c r="E160"/>
  <c r="E151"/>
  <c r="E128"/>
  <c r="E119"/>
  <c r="E111"/>
  <c r="E107"/>
  <c r="H219"/>
  <c r="K221"/>
  <c r="H226"/>
  <c r="K226" s="1"/>
  <c r="H227"/>
  <c r="K227" s="1"/>
  <c r="H228"/>
  <c r="K228" s="1"/>
  <c r="K229"/>
  <c r="H231"/>
  <c r="M231" s="1"/>
  <c r="H232"/>
  <c r="K217"/>
  <c r="K197"/>
  <c r="K198"/>
  <c r="K200"/>
  <c r="K201"/>
  <c r="K202"/>
  <c r="H205"/>
  <c r="K205" s="1"/>
  <c r="H206"/>
  <c r="K206" s="1"/>
  <c r="H207"/>
  <c r="K207" s="1"/>
  <c r="K209"/>
  <c r="K196"/>
  <c r="K183"/>
  <c r="K184"/>
  <c r="K186"/>
  <c r="E237"/>
  <c r="E235"/>
  <c r="E233"/>
  <c r="E192"/>
  <c r="E79"/>
  <c r="F79"/>
  <c r="E76"/>
  <c r="E68" s="1"/>
  <c r="E64" s="1"/>
  <c r="F76"/>
  <c r="E57"/>
  <c r="F57"/>
  <c r="E55"/>
  <c r="F55"/>
  <c r="E47"/>
  <c r="E37"/>
  <c r="E32"/>
  <c r="E23"/>
  <c r="E19"/>
  <c r="F19"/>
  <c r="E17"/>
  <c r="F17"/>
  <c r="E14"/>
  <c r="E13" s="1"/>
  <c r="F14"/>
  <c r="F13" s="1"/>
  <c r="E11"/>
  <c r="F11"/>
  <c r="E9"/>
  <c r="F9"/>
  <c r="F16" l="1"/>
  <c r="E16"/>
  <c r="E104"/>
  <c r="F8"/>
  <c r="F7"/>
  <c r="F54"/>
  <c r="E54"/>
  <c r="E65"/>
  <c r="J65" s="1"/>
  <c r="J68"/>
  <c r="F239"/>
  <c r="F249" s="1"/>
  <c r="E7"/>
  <c r="F22"/>
  <c r="E22"/>
  <c r="E8"/>
  <c r="F6" l="1"/>
  <c r="F84" s="1"/>
  <c r="E6"/>
  <c r="E84" s="1"/>
  <c r="E248" s="1"/>
  <c r="D177"/>
  <c r="H177"/>
  <c r="K177" s="1"/>
  <c r="C177"/>
  <c r="N191"/>
  <c r="L191"/>
  <c r="N182"/>
  <c r="M182"/>
  <c r="L182"/>
  <c r="N209"/>
  <c r="N212"/>
  <c r="M209"/>
  <c r="M212"/>
  <c r="L209"/>
  <c r="L212"/>
  <c r="H195"/>
  <c r="K195" s="1"/>
  <c r="C195"/>
  <c r="D195"/>
  <c r="C216"/>
  <c r="D216"/>
  <c r="H216"/>
  <c r="N219"/>
  <c r="L219"/>
  <c r="N230"/>
  <c r="N231"/>
  <c r="L230"/>
  <c r="L231"/>
  <c r="F241" l="1"/>
  <c r="F248"/>
  <c r="F247" s="1"/>
  <c r="F243" s="1"/>
  <c r="K216"/>
  <c r="M94"/>
  <c r="M95"/>
  <c r="L132" l="1"/>
  <c r="L106"/>
  <c r="L63"/>
  <c r="L60"/>
  <c r="L45"/>
  <c r="L25"/>
  <c r="N67" l="1"/>
  <c r="M67"/>
  <c r="L67"/>
  <c r="L30" l="1"/>
  <c r="N30"/>
  <c r="L193" l="1"/>
  <c r="M193"/>
  <c r="N193"/>
  <c r="H192"/>
  <c r="K192" s="1"/>
  <c r="D192"/>
  <c r="C192"/>
  <c r="C176" s="1"/>
  <c r="H151"/>
  <c r="L168"/>
  <c r="M168"/>
  <c r="N168"/>
  <c r="N161"/>
  <c r="M161"/>
  <c r="L161"/>
  <c r="D151"/>
  <c r="D160"/>
  <c r="H160"/>
  <c r="K160" s="1"/>
  <c r="C137"/>
  <c r="N121"/>
  <c r="M121"/>
  <c r="L121"/>
  <c r="L92"/>
  <c r="L93"/>
  <c r="N93"/>
  <c r="E90"/>
  <c r="J158"/>
  <c r="M158"/>
  <c r="N158"/>
  <c r="M166"/>
  <c r="J166"/>
  <c r="L166"/>
  <c r="N166"/>
  <c r="M167"/>
  <c r="L167"/>
  <c r="N167"/>
  <c r="E144"/>
  <c r="E137" s="1"/>
  <c r="E136" s="1"/>
  <c r="K128"/>
  <c r="E89"/>
  <c r="D87"/>
  <c r="C87"/>
  <c r="K151" l="1"/>
  <c r="H136"/>
  <c r="K137"/>
  <c r="E87"/>
  <c r="M123"/>
  <c r="M192"/>
  <c r="L192"/>
  <c r="N192"/>
  <c r="D176"/>
  <c r="H119"/>
  <c r="K119" s="1"/>
  <c r="E218"/>
  <c r="E216" s="1"/>
  <c r="E215" s="1"/>
  <c r="E204"/>
  <c r="E198"/>
  <c r="E195" s="1"/>
  <c r="E194" s="1"/>
  <c r="H176"/>
  <c r="K176" s="1"/>
  <c r="E179"/>
  <c r="E177" s="1"/>
  <c r="E176" s="1"/>
  <c r="E239" l="1"/>
  <c r="N113"/>
  <c r="K111"/>
  <c r="L176"/>
  <c r="N77"/>
  <c r="L77"/>
  <c r="J77"/>
  <c r="J63"/>
  <c r="J58"/>
  <c r="J59"/>
  <c r="E241" l="1"/>
  <c r="E249"/>
  <c r="E247" s="1"/>
  <c r="D76"/>
  <c r="H76"/>
  <c r="C76"/>
  <c r="K64" l="1"/>
  <c r="K76"/>
  <c r="N71"/>
  <c r="M71"/>
  <c r="L71"/>
  <c r="J71"/>
  <c r="J245" l="1"/>
  <c r="J246"/>
  <c r="M232"/>
  <c r="M222"/>
  <c r="M223"/>
  <c r="M224"/>
  <c r="M225"/>
  <c r="M185"/>
  <c r="M186"/>
  <c r="M170"/>
  <c r="M171"/>
  <c r="M173"/>
  <c r="M174"/>
  <c r="M175"/>
  <c r="M163"/>
  <c r="M165"/>
  <c r="M146"/>
  <c r="M150"/>
  <c r="M155"/>
  <c r="M156"/>
  <c r="M157"/>
  <c r="M139"/>
  <c r="M140"/>
  <c r="M143"/>
  <c r="M144"/>
  <c r="M10"/>
  <c r="M12"/>
  <c r="M15"/>
  <c r="M18"/>
  <c r="M20"/>
  <c r="M21"/>
  <c r="M24"/>
  <c r="M25"/>
  <c r="M26"/>
  <c r="M27"/>
  <c r="M28"/>
  <c r="M33"/>
  <c r="M34"/>
  <c r="M56"/>
  <c r="M63"/>
  <c r="M72"/>
  <c r="J163"/>
  <c r="J165"/>
  <c r="J155"/>
  <c r="J156"/>
  <c r="J143"/>
  <c r="J144"/>
  <c r="J147"/>
  <c r="J148"/>
  <c r="J149"/>
  <c r="J150"/>
  <c r="J139"/>
  <c r="J140"/>
  <c r="J125"/>
  <c r="J127"/>
  <c r="J128"/>
  <c r="J130"/>
  <c r="J131"/>
  <c r="J132"/>
  <c r="J135"/>
  <c r="J78"/>
  <c r="J44"/>
  <c r="J46"/>
  <c r="J34"/>
  <c r="H244"/>
  <c r="M127" l="1"/>
  <c r="M125"/>
  <c r="D47"/>
  <c r="J25" l="1"/>
  <c r="N25"/>
  <c r="N58"/>
  <c r="N59"/>
  <c r="N60"/>
  <c r="N61"/>
  <c r="N62"/>
  <c r="N63"/>
  <c r="N72"/>
  <c r="N78"/>
  <c r="N80"/>
  <c r="L72"/>
  <c r="L78"/>
  <c r="L80"/>
  <c r="L59"/>
  <c r="L61"/>
  <c r="L62"/>
  <c r="D79"/>
  <c r="K79"/>
  <c r="C79"/>
  <c r="C64" s="1"/>
  <c r="N79" l="1"/>
  <c r="L79"/>
  <c r="J190"/>
  <c r="J203"/>
  <c r="J208"/>
  <c r="J234"/>
  <c r="N232"/>
  <c r="L232"/>
  <c r="M151" l="1"/>
  <c r="K169"/>
  <c r="H107"/>
  <c r="H104" s="1"/>
  <c r="J160"/>
  <c r="K107" l="1"/>
  <c r="K104"/>
  <c r="J157"/>
  <c r="K136"/>
  <c r="J151" l="1"/>
  <c r="L208"/>
  <c r="K213"/>
  <c r="D194"/>
  <c r="N234"/>
  <c r="L234"/>
  <c r="J217"/>
  <c r="L217"/>
  <c r="H233"/>
  <c r="H215" s="1"/>
  <c r="D233"/>
  <c r="D215" s="1"/>
  <c r="C233"/>
  <c r="C215" s="1"/>
  <c r="J233" l="1"/>
  <c r="L233"/>
  <c r="N233"/>
  <c r="C111"/>
  <c r="K215" l="1"/>
  <c r="J62"/>
  <c r="D57"/>
  <c r="H57"/>
  <c r="C57"/>
  <c r="J76"/>
  <c r="K57" l="1"/>
  <c r="M57"/>
  <c r="L57"/>
  <c r="N76"/>
  <c r="L76"/>
  <c r="N246"/>
  <c r="N245"/>
  <c r="N238"/>
  <c r="N236"/>
  <c r="N229"/>
  <c r="N222"/>
  <c r="N223"/>
  <c r="N224"/>
  <c r="N225"/>
  <c r="N221"/>
  <c r="N218"/>
  <c r="N214"/>
  <c r="N208"/>
  <c r="N201"/>
  <c r="N202"/>
  <c r="N203"/>
  <c r="N204"/>
  <c r="N200"/>
  <c r="N198"/>
  <c r="N196"/>
  <c r="N190"/>
  <c r="N183"/>
  <c r="N184"/>
  <c r="N185"/>
  <c r="N186"/>
  <c r="N181"/>
  <c r="N179"/>
  <c r="N178"/>
  <c r="N174"/>
  <c r="N175"/>
  <c r="N173"/>
  <c r="N170"/>
  <c r="N169"/>
  <c r="N163"/>
  <c r="N164"/>
  <c r="N165"/>
  <c r="N162"/>
  <c r="N139"/>
  <c r="N140"/>
  <c r="N141"/>
  <c r="N142"/>
  <c r="N143"/>
  <c r="N144"/>
  <c r="N146"/>
  <c r="N153"/>
  <c r="N150"/>
  <c r="N151"/>
  <c r="N154"/>
  <c r="N155"/>
  <c r="N156"/>
  <c r="N157"/>
  <c r="N160"/>
  <c r="N137"/>
  <c r="N135"/>
  <c r="N110"/>
  <c r="N114"/>
  <c r="N115"/>
  <c r="N116"/>
  <c r="N117"/>
  <c r="N119"/>
  <c r="N120"/>
  <c r="N122"/>
  <c r="N123"/>
  <c r="N124"/>
  <c r="N125"/>
  <c r="N126"/>
  <c r="N127"/>
  <c r="N128"/>
  <c r="N129"/>
  <c r="N130"/>
  <c r="N131"/>
  <c r="N132"/>
  <c r="N109"/>
  <c r="N89"/>
  <c r="N90"/>
  <c r="N92"/>
  <c r="N94"/>
  <c r="N95"/>
  <c r="N96"/>
  <c r="N97"/>
  <c r="N98"/>
  <c r="N99"/>
  <c r="N100"/>
  <c r="N101"/>
  <c r="N88"/>
  <c r="N56"/>
  <c r="N44"/>
  <c r="N45"/>
  <c r="N46"/>
  <c r="N48"/>
  <c r="N53"/>
  <c r="N31"/>
  <c r="N33"/>
  <c r="N24"/>
  <c r="N26"/>
  <c r="N27"/>
  <c r="N15"/>
  <c r="N18"/>
  <c r="N20"/>
  <c r="N21"/>
  <c r="N10"/>
  <c r="N12"/>
  <c r="H9"/>
  <c r="K9" s="1"/>
  <c r="H11"/>
  <c r="K11" s="1"/>
  <c r="H14"/>
  <c r="H17"/>
  <c r="K17" s="1"/>
  <c r="H19"/>
  <c r="K19" s="1"/>
  <c r="K23"/>
  <c r="H55"/>
  <c r="H54" s="1"/>
  <c r="N57"/>
  <c r="H87"/>
  <c r="H194"/>
  <c r="K194" s="1"/>
  <c r="H235"/>
  <c r="K235" s="1"/>
  <c r="H237"/>
  <c r="H251"/>
  <c r="H252"/>
  <c r="H253"/>
  <c r="H254"/>
  <c r="H256"/>
  <c r="H22" l="1"/>
  <c r="K22" s="1"/>
  <c r="K237"/>
  <c r="K32"/>
  <c r="K87"/>
  <c r="H239"/>
  <c r="K54"/>
  <c r="K55"/>
  <c r="H13"/>
  <c r="K13" s="1"/>
  <c r="K14"/>
  <c r="H8"/>
  <c r="N64"/>
  <c r="N19"/>
  <c r="N32"/>
  <c r="N47"/>
  <c r="N11"/>
  <c r="N17"/>
  <c r="N23"/>
  <c r="N37"/>
  <c r="N235"/>
  <c r="N213"/>
  <c r="N194"/>
  <c r="N237"/>
  <c r="N195"/>
  <c r="N177"/>
  <c r="N136"/>
  <c r="N107"/>
  <c r="N87"/>
  <c r="N55"/>
  <c r="N176"/>
  <c r="N111"/>
  <c r="N244"/>
  <c r="N28"/>
  <c r="N34"/>
  <c r="N14"/>
  <c r="N9"/>
  <c r="H16"/>
  <c r="K16" s="1"/>
  <c r="J88"/>
  <c r="J89"/>
  <c r="J90"/>
  <c r="J92"/>
  <c r="J94"/>
  <c r="J95"/>
  <c r="J97"/>
  <c r="J99"/>
  <c r="J100"/>
  <c r="J101"/>
  <c r="J102"/>
  <c r="J103"/>
  <c r="J109"/>
  <c r="J110"/>
  <c r="J113"/>
  <c r="J114"/>
  <c r="J115"/>
  <c r="J116"/>
  <c r="J117"/>
  <c r="J120"/>
  <c r="J122"/>
  <c r="J124"/>
  <c r="J141"/>
  <c r="J162"/>
  <c r="J170"/>
  <c r="J171"/>
  <c r="J173"/>
  <c r="J174"/>
  <c r="J175"/>
  <c r="J178"/>
  <c r="J179"/>
  <c r="J181"/>
  <c r="J183"/>
  <c r="J184"/>
  <c r="J186"/>
  <c r="J187"/>
  <c r="J188"/>
  <c r="J189"/>
  <c r="J196"/>
  <c r="J197"/>
  <c r="J198"/>
  <c r="J200"/>
  <c r="J201"/>
  <c r="J202"/>
  <c r="J204"/>
  <c r="J205"/>
  <c r="J206"/>
  <c r="J207"/>
  <c r="J209"/>
  <c r="J214"/>
  <c r="J218"/>
  <c r="J221"/>
  <c r="J222"/>
  <c r="J223"/>
  <c r="J225"/>
  <c r="J226"/>
  <c r="J227"/>
  <c r="J228"/>
  <c r="J229"/>
  <c r="J236"/>
  <c r="J238"/>
  <c r="J169"/>
  <c r="D169"/>
  <c r="D136" s="1"/>
  <c r="J137"/>
  <c r="D128"/>
  <c r="J119"/>
  <c r="J107"/>
  <c r="D111"/>
  <c r="C128"/>
  <c r="D104" l="1"/>
  <c r="I145"/>
  <c r="I105"/>
  <c r="N13"/>
  <c r="I210"/>
  <c r="I211"/>
  <c r="K239"/>
  <c r="N239"/>
  <c r="I239"/>
  <c r="N8"/>
  <c r="K8"/>
  <c r="N22"/>
  <c r="H7"/>
  <c r="N54"/>
  <c r="N104"/>
  <c r="H249"/>
  <c r="J249" s="1"/>
  <c r="N16"/>
  <c r="J213"/>
  <c r="M87"/>
  <c r="H6" l="1"/>
  <c r="K7"/>
  <c r="I134"/>
  <c r="I191"/>
  <c r="I182"/>
  <c r="I212"/>
  <c r="I209"/>
  <c r="I230"/>
  <c r="I219"/>
  <c r="I231"/>
  <c r="I192"/>
  <c r="I201"/>
  <c r="I193"/>
  <c r="I160"/>
  <c r="I176"/>
  <c r="I106"/>
  <c r="I161"/>
  <c r="I168"/>
  <c r="I93"/>
  <c r="I121"/>
  <c r="I166"/>
  <c r="I167"/>
  <c r="N7"/>
  <c r="I217"/>
  <c r="I232"/>
  <c r="I234"/>
  <c r="I233"/>
  <c r="N217"/>
  <c r="E244"/>
  <c r="E243" s="1"/>
  <c r="J10"/>
  <c r="J12"/>
  <c r="J15"/>
  <c r="J18"/>
  <c r="J20"/>
  <c r="J21"/>
  <c r="J24"/>
  <c r="J26"/>
  <c r="J27"/>
  <c r="J31"/>
  <c r="J33"/>
  <c r="J53"/>
  <c r="J56"/>
  <c r="J72"/>
  <c r="H84" l="1"/>
  <c r="K6"/>
  <c r="N6"/>
  <c r="N216"/>
  <c r="I41" l="1"/>
  <c r="I43"/>
  <c r="I42"/>
  <c r="I44"/>
  <c r="I74"/>
  <c r="N84"/>
  <c r="N248" s="1"/>
  <c r="I47"/>
  <c r="I66"/>
  <c r="I40"/>
  <c r="I64"/>
  <c r="I60"/>
  <c r="I25"/>
  <c r="I48"/>
  <c r="I46"/>
  <c r="I59"/>
  <c r="H241"/>
  <c r="I57"/>
  <c r="I80"/>
  <c r="I76"/>
  <c r="I30"/>
  <c r="I31"/>
  <c r="I79"/>
  <c r="I62"/>
  <c r="I67"/>
  <c r="I71"/>
  <c r="I61"/>
  <c r="I78"/>
  <c r="K84"/>
  <c r="I83"/>
  <c r="I77"/>
  <c r="H248"/>
  <c r="H247" s="1"/>
  <c r="I82"/>
  <c r="I29"/>
  <c r="I75"/>
  <c r="I68"/>
  <c r="I73"/>
  <c r="I70"/>
  <c r="I65"/>
  <c r="I69"/>
  <c r="I51"/>
  <c r="I49"/>
  <c r="I52"/>
  <c r="I50"/>
  <c r="I35"/>
  <c r="I38"/>
  <c r="I39"/>
  <c r="I36"/>
  <c r="I9"/>
  <c r="N215"/>
  <c r="J28"/>
  <c r="H243" l="1"/>
  <c r="N247"/>
  <c r="J247"/>
  <c r="I247" l="1"/>
  <c r="M160"/>
  <c r="C107"/>
  <c r="C104" s="1"/>
  <c r="J177" l="1"/>
  <c r="J176"/>
  <c r="L46"/>
  <c r="C37"/>
  <c r="L127" l="1"/>
  <c r="L64" l="1"/>
  <c r="M64"/>
  <c r="J64"/>
  <c r="L150"/>
  <c r="L154"/>
  <c r="L141"/>
  <c r="J57" l="1"/>
  <c r="L58"/>
  <c r="J87" l="1"/>
  <c r="D17"/>
  <c r="M17" s="1"/>
  <c r="C169" l="1"/>
  <c r="C136" s="1"/>
  <c r="J111" l="1"/>
  <c r="M179" l="1"/>
  <c r="L179"/>
  <c r="L94"/>
  <c r="L95"/>
  <c r="J136" l="1"/>
  <c r="L140" l="1"/>
  <c r="L31" l="1"/>
  <c r="M218" l="1"/>
  <c r="L218"/>
  <c r="J195" l="1"/>
  <c r="J194"/>
  <c r="J216"/>
  <c r="J215"/>
  <c r="M198"/>
  <c r="L198"/>
  <c r="M132" l="1"/>
  <c r="L89" l="1"/>
  <c r="M100" l="1"/>
  <c r="C194" l="1"/>
  <c r="M162"/>
  <c r="L162"/>
  <c r="L163"/>
  <c r="L164"/>
  <c r="L165"/>
  <c r="M114" l="1"/>
  <c r="M115"/>
  <c r="M116"/>
  <c r="M117"/>
  <c r="M120"/>
  <c r="M122"/>
  <c r="M124"/>
  <c r="L114"/>
  <c r="L115"/>
  <c r="L116"/>
  <c r="L117"/>
  <c r="L120"/>
  <c r="L122"/>
  <c r="L123"/>
  <c r="L124"/>
  <c r="L160" l="1"/>
  <c r="M119" l="1"/>
  <c r="L119"/>
  <c r="N171"/>
  <c r="L171"/>
  <c r="L146" l="1"/>
  <c r="L144"/>
  <c r="M203"/>
  <c r="M204"/>
  <c r="M201"/>
  <c r="L203"/>
  <c r="L204"/>
  <c r="L201"/>
  <c r="N207"/>
  <c r="M207"/>
  <c r="L207"/>
  <c r="N228" l="1"/>
  <c r="M228"/>
  <c r="L228"/>
  <c r="L224"/>
  <c r="L225"/>
  <c r="L222"/>
  <c r="L185"/>
  <c r="L183"/>
  <c r="L181"/>
  <c r="N189"/>
  <c r="L189"/>
  <c r="L186"/>
  <c r="M183"/>
  <c r="L178"/>
  <c r="C47"/>
  <c r="L53"/>
  <c r="C14"/>
  <c r="D252"/>
  <c r="C252"/>
  <c r="C244"/>
  <c r="C253"/>
  <c r="D253"/>
  <c r="L12"/>
  <c r="D55"/>
  <c r="D54" s="1"/>
  <c r="J55"/>
  <c r="M32"/>
  <c r="J32"/>
  <c r="M23"/>
  <c r="J23"/>
  <c r="D19"/>
  <c r="M19" s="1"/>
  <c r="J19"/>
  <c r="J17"/>
  <c r="D14"/>
  <c r="J14"/>
  <c r="D11"/>
  <c r="M11" s="1"/>
  <c r="J11"/>
  <c r="D9"/>
  <c r="J9"/>
  <c r="D22" l="1"/>
  <c r="M22" s="1"/>
  <c r="M54"/>
  <c r="M55"/>
  <c r="D8"/>
  <c r="M8" s="1"/>
  <c r="M9"/>
  <c r="D13"/>
  <c r="M13" s="1"/>
  <c r="M14"/>
  <c r="J8"/>
  <c r="J13"/>
  <c r="J16"/>
  <c r="J22"/>
  <c r="D16"/>
  <c r="M16" s="1"/>
  <c r="L11"/>
  <c r="C9"/>
  <c r="C32"/>
  <c r="C11"/>
  <c r="M238"/>
  <c r="L238"/>
  <c r="J237"/>
  <c r="D237"/>
  <c r="C237"/>
  <c r="C22" l="1"/>
  <c r="D7"/>
  <c r="M7" s="1"/>
  <c r="J7"/>
  <c r="M237"/>
  <c r="L237"/>
  <c r="L170"/>
  <c r="L153"/>
  <c r="L143"/>
  <c r="L142"/>
  <c r="M131"/>
  <c r="L131"/>
  <c r="L26"/>
  <c r="D6" l="1"/>
  <c r="D84" s="1"/>
  <c r="J6"/>
  <c r="M136"/>
  <c r="L174" l="1"/>
  <c r="M110"/>
  <c r="L110"/>
  <c r="L44" l="1"/>
  <c r="L48"/>
  <c r="L9"/>
  <c r="L10"/>
  <c r="L15"/>
  <c r="L18"/>
  <c r="L20"/>
  <c r="L21"/>
  <c r="L24"/>
  <c r="L27"/>
  <c r="L28"/>
  <c r="L33"/>
  <c r="L34"/>
  <c r="L56"/>
  <c r="C55"/>
  <c r="C54" s="1"/>
  <c r="C19"/>
  <c r="C17"/>
  <c r="C13"/>
  <c r="C8"/>
  <c r="J54" l="1"/>
  <c r="L37"/>
  <c r="L47"/>
  <c r="L55"/>
  <c r="L32"/>
  <c r="L13"/>
  <c r="L23"/>
  <c r="L19"/>
  <c r="L17"/>
  <c r="L14"/>
  <c r="L8"/>
  <c r="C16"/>
  <c r="C7" s="1"/>
  <c r="D248" l="1"/>
  <c r="M248" s="1"/>
  <c r="M84"/>
  <c r="L84"/>
  <c r="C6"/>
  <c r="C84" s="1"/>
  <c r="C248" s="1"/>
  <c r="L54"/>
  <c r="L22"/>
  <c r="L16"/>
  <c r="J84" l="1"/>
  <c r="I58"/>
  <c r="I53"/>
  <c r="I72"/>
  <c r="I84"/>
  <c r="I12"/>
  <c r="I45"/>
  <c r="I11"/>
  <c r="M6"/>
  <c r="L7"/>
  <c r="L6"/>
  <c r="I26" l="1"/>
  <c r="D251"/>
  <c r="I37" l="1"/>
  <c r="I27"/>
  <c r="I63"/>
  <c r="I56"/>
  <c r="I33"/>
  <c r="I28"/>
  <c r="I24"/>
  <c r="I20"/>
  <c r="I18"/>
  <c r="I15"/>
  <c r="I34"/>
  <c r="I21"/>
  <c r="I10"/>
  <c r="I8"/>
  <c r="I14"/>
  <c r="I16"/>
  <c r="I23"/>
  <c r="I17"/>
  <c r="I13"/>
  <c r="I7"/>
  <c r="I19"/>
  <c r="I55"/>
  <c r="I32"/>
  <c r="I54"/>
  <c r="I22"/>
  <c r="I6"/>
  <c r="L184" l="1"/>
  <c r="M184"/>
  <c r="D254" l="1"/>
  <c r="D256"/>
  <c r="N255"/>
  <c r="M255"/>
  <c r="L255"/>
  <c r="N252"/>
  <c r="M252"/>
  <c r="L252"/>
  <c r="C251"/>
  <c r="C254"/>
  <c r="C256"/>
  <c r="M229"/>
  <c r="L229"/>
  <c r="L223"/>
  <c r="M221"/>
  <c r="L221"/>
  <c r="L190"/>
  <c r="M181"/>
  <c r="M101"/>
  <c r="L101"/>
  <c r="M99"/>
  <c r="L99"/>
  <c r="L87" l="1"/>
  <c r="M253"/>
  <c r="N253"/>
  <c r="L253"/>
  <c r="M256"/>
  <c r="M254"/>
  <c r="N254"/>
  <c r="L254"/>
  <c r="M251"/>
  <c r="N251"/>
  <c r="L251"/>
  <c r="L100"/>
  <c r="L256"/>
  <c r="N256"/>
  <c r="L103" l="1"/>
  <c r="M103"/>
  <c r="N103"/>
  <c r="L111" l="1"/>
  <c r="L88"/>
  <c r="M88"/>
  <c r="M89"/>
  <c r="L90"/>
  <c r="M90"/>
  <c r="L96"/>
  <c r="L97"/>
  <c r="M97"/>
  <c r="L107"/>
  <c r="M107"/>
  <c r="L109"/>
  <c r="M109"/>
  <c r="M111"/>
  <c r="L113"/>
  <c r="M113"/>
  <c r="L135"/>
  <c r="M135"/>
  <c r="L173"/>
  <c r="L175"/>
  <c r="L137"/>
  <c r="M137"/>
  <c r="L139"/>
  <c r="L151"/>
  <c r="L155"/>
  <c r="L156"/>
  <c r="L157"/>
  <c r="L169"/>
  <c r="M169"/>
  <c r="M178"/>
  <c r="L187"/>
  <c r="N187"/>
  <c r="L200"/>
  <c r="M200"/>
  <c r="L202"/>
  <c r="M202"/>
  <c r="M208"/>
  <c r="L196"/>
  <c r="M196"/>
  <c r="L205"/>
  <c r="M205"/>
  <c r="N205"/>
  <c r="L214"/>
  <c r="M214"/>
  <c r="L216"/>
  <c r="M216"/>
  <c r="M217"/>
  <c r="L226"/>
  <c r="M226"/>
  <c r="N226"/>
  <c r="L236"/>
  <c r="M236"/>
  <c r="L130"/>
  <c r="M130"/>
  <c r="M92"/>
  <c r="D235"/>
  <c r="J235"/>
  <c r="C235"/>
  <c r="C239" s="1"/>
  <c r="D239" l="1"/>
  <c r="D249" s="1"/>
  <c r="M194"/>
  <c r="L195"/>
  <c r="M177"/>
  <c r="L177"/>
  <c r="M195"/>
  <c r="L235"/>
  <c r="L215"/>
  <c r="L213"/>
  <c r="L136"/>
  <c r="M235"/>
  <c r="M215"/>
  <c r="M213"/>
  <c r="M176"/>
  <c r="M239" l="1"/>
  <c r="L239"/>
  <c r="L194"/>
  <c r="M245" l="1"/>
  <c r="M246"/>
  <c r="L245"/>
  <c r="L246"/>
  <c r="L249" l="1"/>
  <c r="M249"/>
  <c r="D247" l="1"/>
  <c r="D243" s="1"/>
  <c r="D241"/>
  <c r="L248" l="1"/>
  <c r="M247" l="1"/>
  <c r="L247"/>
  <c r="J243"/>
  <c r="L128" l="1"/>
  <c r="M128"/>
  <c r="J104" l="1"/>
  <c r="J239" s="1"/>
  <c r="M104"/>
  <c r="L104"/>
  <c r="I127" l="1"/>
  <c r="I154"/>
  <c r="I141"/>
  <c r="I174"/>
  <c r="I251"/>
  <c r="I256"/>
  <c r="I252"/>
  <c r="I228"/>
  <c r="I226"/>
  <c r="N249"/>
  <c r="I130"/>
  <c r="I156"/>
  <c r="I200"/>
  <c r="I196"/>
  <c r="I214"/>
  <c r="I253"/>
  <c r="I207"/>
  <c r="I205"/>
  <c r="I254"/>
  <c r="I171"/>
  <c r="I255"/>
  <c r="I162"/>
  <c r="I165"/>
  <c r="I164"/>
  <c r="I116"/>
  <c r="I120"/>
  <c r="I124"/>
  <c r="I117"/>
  <c r="I123"/>
  <c r="I146"/>
  <c r="I203"/>
  <c r="I204"/>
  <c r="I222"/>
  <c r="I225"/>
  <c r="I186"/>
  <c r="I185"/>
  <c r="I237"/>
  <c r="I150"/>
  <c r="I99"/>
  <c r="I221"/>
  <c r="I144"/>
  <c r="I189"/>
  <c r="I183"/>
  <c r="I238"/>
  <c r="I170"/>
  <c r="I148"/>
  <c r="I143"/>
  <c r="I153"/>
  <c r="I110"/>
  <c r="I100"/>
  <c r="I190"/>
  <c r="I103"/>
  <c r="I181"/>
  <c r="I88"/>
  <c r="I90"/>
  <c r="I97"/>
  <c r="I107"/>
  <c r="I111"/>
  <c r="I125"/>
  <c r="I173"/>
  <c r="I137"/>
  <c r="I151"/>
  <c r="I157"/>
  <c r="I177"/>
  <c r="I187"/>
  <c r="I202"/>
  <c r="I195"/>
  <c r="I215"/>
  <c r="I136"/>
  <c r="J241"/>
  <c r="I128"/>
  <c r="I94"/>
  <c r="I95"/>
  <c r="I140"/>
  <c r="I132"/>
  <c r="I131"/>
  <c r="I142"/>
  <c r="I101"/>
  <c r="I223"/>
  <c r="I229"/>
  <c r="I179"/>
  <c r="I147"/>
  <c r="I218"/>
  <c r="I198"/>
  <c r="I119"/>
  <c r="I163"/>
  <c r="I114"/>
  <c r="I122"/>
  <c r="I115"/>
  <c r="I197"/>
  <c r="I224"/>
  <c r="I184"/>
  <c r="I236"/>
  <c r="I235"/>
  <c r="I213"/>
  <c r="I92"/>
  <c r="I194"/>
  <c r="I87"/>
  <c r="I89"/>
  <c r="I96"/>
  <c r="I109"/>
  <c r="I113"/>
  <c r="I135"/>
  <c r="I175"/>
  <c r="I139"/>
  <c r="I155"/>
  <c r="I169"/>
  <c r="I178"/>
  <c r="I208"/>
  <c r="I216"/>
  <c r="I104"/>
  <c r="C241" l="1"/>
  <c r="C249"/>
  <c r="C247" s="1"/>
  <c r="C243" s="1"/>
</calcChain>
</file>

<file path=xl/sharedStrings.xml><?xml version="1.0" encoding="utf-8"?>
<sst xmlns="http://schemas.openxmlformats.org/spreadsheetml/2006/main" count="426" uniqueCount="350">
  <si>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</si>
  <si>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</si>
  <si>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</si>
  <si>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000 1 17 00000 00 0000 000</t>
  </si>
  <si>
    <t xml:space="preserve">БЕЗВОЗМЕЗДНЫЕ ПОСТУПЛЕНИЯ </t>
  </si>
  <si>
    <t>ПРОЧИЕ НЕНАЛОГОВЫЕ ДОХОДЫ</t>
  </si>
  <si>
    <t>ВСЕГО ДОХОДОВ</t>
  </si>
  <si>
    <t>РАСХОДЫ</t>
  </si>
  <si>
    <t xml:space="preserve">ЖИЛИЩНО-КОММУНАЛЬНОЕ ХОЗЯЙСТВО </t>
  </si>
  <si>
    <t>СПРАВОЧНО:</t>
  </si>
  <si>
    <t xml:space="preserve"> </t>
  </si>
  <si>
    <t>Процент исполнения годового плана</t>
  </si>
  <si>
    <t>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</si>
  <si>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</si>
  <si>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</si>
  <si>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</si>
  <si>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Земельный налог</t>
  </si>
  <si>
    <t>НЕНАЛОГОВЫЕ ДОХОДЫ</t>
  </si>
  <si>
    <t>Код</t>
  </si>
  <si>
    <t>Отклонение от годового плана</t>
  </si>
  <si>
    <t>Наименование</t>
  </si>
  <si>
    <t>0100</t>
  </si>
  <si>
    <t>0500</t>
  </si>
  <si>
    <t>Резервные фонды</t>
  </si>
  <si>
    <t>0400</t>
  </si>
  <si>
    <t>ОБЩЕГОСУДАРСТВЕННЫЕ ВОПРОСЫ</t>
  </si>
  <si>
    <t>НАЦИОНАЛЬНАЯ ЭКОНОМИКА</t>
  </si>
  <si>
    <t>в том числе:</t>
  </si>
  <si>
    <t>000 1 00 00000 00 0000 000</t>
  </si>
  <si>
    <t>000 1 01 00000 00 0000 000</t>
  </si>
  <si>
    <t>НАЛОГИ НА ПРИБЫЛЬ, ДОХОДЫ</t>
  </si>
  <si>
    <t>182 1 01 02000 01 0000 110</t>
  </si>
  <si>
    <t>182 1 05 03000 01 0000 110</t>
  </si>
  <si>
    <t>182 1 06 06000 00 0000 110</t>
  </si>
  <si>
    <t>Налог на имущество физических лиц</t>
  </si>
  <si>
    <t>182 1 06 01000 00 0000 110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</si>
  <si>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</si>
  <si>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000 1 14 00000 00 0000 000</t>
  </si>
  <si>
    <t>000 1 11 00000 00 0000 000</t>
  </si>
  <si>
    <t>000 2 00 00000 00 0000 000</t>
  </si>
  <si>
    <t>Доходы,  получаемые  в  виде  арендной  платы  за земельные участки, государственная  собственность на которые не разграничена и которые  расположены в границах поселений, а также средства от продажи права на заключение  договоров  аренды  указанных земельных участков</t>
  </si>
  <si>
    <t>Доходы    от    продажи    земельных    участков, государственная  собственность  на   которые   не разграничена и  которые  расположены  в  границах поселений</t>
  </si>
  <si>
    <t>0503</t>
  </si>
  <si>
    <t>Благоустройство</t>
  </si>
  <si>
    <t>0707</t>
  </si>
  <si>
    <t>0102</t>
  </si>
  <si>
    <t>0103</t>
  </si>
  <si>
    <t>0408</t>
  </si>
  <si>
    <t>Невыясненные поступления, зачисляемые в бюджеты поселений</t>
  </si>
  <si>
    <t>Физическая культура и спорт</t>
  </si>
  <si>
    <t>Увеличение прочих остатков денежных средств бюджета поселения</t>
  </si>
  <si>
    <t>Уменьшение прочих остатков денежных средств бюджета поселения</t>
  </si>
  <si>
    <t>Молодежная политика и оздоровление детей</t>
  </si>
  <si>
    <t>Функционирование высшего должностного лица субъекта Российской Федерации и муниципального образования</t>
  </si>
  <si>
    <t>Всего расходов</t>
  </si>
  <si>
    <t>0501</t>
  </si>
  <si>
    <t>0505</t>
  </si>
  <si>
    <t>Другие вопросы в области жилищно-коммунального хозяйства</t>
  </si>
  <si>
    <t>0800</t>
  </si>
  <si>
    <t>Культура</t>
  </si>
  <si>
    <t>0801</t>
  </si>
  <si>
    <t>1001</t>
  </si>
  <si>
    <t>Пенсионное обеспечение</t>
  </si>
  <si>
    <t>ПРОФИЦИТ БЮДЖЕТА (со знаком плюс)</t>
  </si>
  <si>
    <t>ДЕФИЦИТ БЮДЖЕТА (со знаком минус)</t>
  </si>
  <si>
    <t>ИСТОЧНИКИ ВНУТРЕННЕГО ФИНАНСИРОВАНИЯ ДЕФИЦИТА БЮДЖЕТА</t>
  </si>
  <si>
    <t>2</t>
  </si>
  <si>
    <t>Жилищное хозяйство</t>
  </si>
  <si>
    <t>0111</t>
  </si>
  <si>
    <t xml:space="preserve">- капитальный ремонт жилого фонда за счет средств поступающих за наем муниципальных жилых помещений     </t>
  </si>
  <si>
    <t xml:space="preserve">- увеличение стоимости основных средств </t>
  </si>
  <si>
    <t>1301</t>
  </si>
  <si>
    <t>0113</t>
  </si>
  <si>
    <t>1101</t>
  </si>
  <si>
    <t>182 1 05 03010 01 0000 110</t>
  </si>
  <si>
    <t>Прочие поступления  от  использования  имущества, находящегося  в   собственности  поселений  (за исключением  имущества  муниципальных  бюджетных и автономных учреждений,  а  также   имущества   муниципальных унитарных предприятий, в том числе казенных)</t>
  </si>
  <si>
    <t>01 02 00 00 10 0000 710</t>
  </si>
  <si>
    <t>Получение кредитов от кредитных организаций бюджетом поселения в валюте Российской Федерации</t>
  </si>
  <si>
    <t>01 02 00 00 10 0000 810</t>
  </si>
  <si>
    <t>Погашение бюджетом поселения кредитов от кредитных организаций в валюте Российской Федерации</t>
  </si>
  <si>
    <t>01 02 00 00 00 0000 000</t>
  </si>
  <si>
    <t>Кредиты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</si>
  <si>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</si>
  <si>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бюджета</t>
  </si>
  <si>
    <t xml:space="preserve"> 01 05 02 01 10 0000 510</t>
  </si>
  <si>
    <t xml:space="preserve"> 01 05 02 01 10 0000 610</t>
  </si>
  <si>
    <t>000 1 05 00000 00 0000 000</t>
  </si>
  <si>
    <t>000 1 06 00000 00 0000 000</t>
  </si>
  <si>
    <t>Транспорт</t>
  </si>
  <si>
    <t>0409</t>
  </si>
  <si>
    <t>Дорожное хозяйство (дорожные фонды)</t>
  </si>
  <si>
    <t>- бюджетные инвестиции в объекты капитального строительства собственности муниципальных образований</t>
  </si>
  <si>
    <t>- уличное освещение</t>
  </si>
  <si>
    <t>- субсидии бюджетным учреждениям на финансовое обеспечение муниципального задания на оказание муниципальных услуг (выполнение работ)</t>
  </si>
  <si>
    <t>- субсидии бюджетным учреждениям на иные цели</t>
  </si>
  <si>
    <t>- заработная плата с начислениями на оплату труда</t>
  </si>
  <si>
    <t>Культура, кинематография</t>
  </si>
  <si>
    <t>- увеличение стоимости основных средств</t>
  </si>
  <si>
    <t xml:space="preserve">- коммунальные услуги </t>
  </si>
  <si>
    <t>1000</t>
  </si>
  <si>
    <t>Социальная политика</t>
  </si>
  <si>
    <t>1100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</si>
  <si>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</si>
  <si>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</si>
  <si>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- реализация долгосрочных целевых программ</t>
  </si>
  <si>
    <t>Образование</t>
  </si>
  <si>
    <t>0700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</si>
  <si>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 также   имущества   муниципальных унитарных предприятий, в том числе казенных), в части реализации основных средств по указанному имуществу</t>
  </si>
  <si>
    <t>Субсидии бюджетам Российской Федерации и муниципальных образований (межбюджетные субсидии)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</si>
  <si>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</si>
  <si>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</si>
  <si>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</si>
  <si>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тыс.рублей</t>
  </si>
  <si>
    <t>182 1 01 02010 01 0000 110</t>
  </si>
  <si>
    <t>- 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</si>
  <si>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>- субсидия на капитальный ремонт и ремонт автомобильных дорог общего пользования населенных пунктов за счет средств областного дорожного фонда</t>
  </si>
  <si>
    <t>Из них по разделу 0100</t>
  </si>
  <si>
    <t>Из них по разделу 0300</t>
  </si>
  <si>
    <t>Из них по разделу 0400</t>
  </si>
  <si>
    <t>Из них по разделу 0500</t>
  </si>
  <si>
    <t>- органов местного самоуправления</t>
  </si>
  <si>
    <t>- заработная плата с начислениями на оплату труда, из них: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</si>
  <si>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</si>
  <si>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Другие вопросы в области национальной экономики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</si>
  <si>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9.9"/>
        <color indexed="8"/>
        <rFont val="Arial Narrow"/>
        <family val="2"/>
        <charset val="204"/>
      </rPr>
      <t>1</t>
    </r>
    <r>
      <rPr>
        <sz val="9"/>
        <color indexed="8"/>
        <rFont val="Arial Narrow"/>
        <family val="2"/>
        <charset val="204"/>
      </rPr>
      <t xml:space="preserve"> и 228 Налогового кодекса Российской Федерации</t>
    </r>
  </si>
  <si>
    <t>000 1 16 00000 00 0000 000</t>
  </si>
  <si>
    <t>ШТРАФЫ, САНКЦИИ, ВОЗМЕЩЕНИЕ УЩЕРБА</t>
  </si>
  <si>
    <t>- межбюджетные трансферты на осуществление переданных полномочий по решению вопросов местного значения поселений в части исполнения бюджета МО г.Энгельс</t>
  </si>
  <si>
    <t>- межбюджетные трансферты ЭМР</t>
  </si>
  <si>
    <t>Доходы от сдачи в аренду имущества, составляющего казну поселений (за исключением земельных участков)</t>
  </si>
  <si>
    <t>0104</t>
  </si>
  <si>
    <t>0412</t>
  </si>
  <si>
    <t xml:space="preserve">- межбюджетные трансферты на осуществление переданных полномочий по решению вопросов местного значения поселений по земельному контролю </t>
  </si>
  <si>
    <t>- реализация программ</t>
  </si>
  <si>
    <t>0502</t>
  </si>
  <si>
    <t>Коммунальное хозяйство</t>
  </si>
  <si>
    <t>1403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</si>
  <si>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</si>
  <si>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</si>
  <si>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000 1 03 00000 00 0000 000</t>
  </si>
  <si>
    <t>Денежные взыскания (штрафы) установленные законами субъектов Российской Федерации за несоблюдение муниципальных правовых актов, зачисляемых в бюджеты поселений</t>
  </si>
  <si>
    <t>119 1 17 01050 10 0000 180</t>
  </si>
  <si>
    <t>НАЛОГОВЫЕ И НЕНАЛОГОВЫЕ ДОХОДЫ</t>
  </si>
  <si>
    <t>- работников муниципальных учреждений соц.сферы</t>
  </si>
  <si>
    <t>Налоги на товары (работы, услуги), реализуемые на территории Российской Федерации</t>
  </si>
  <si>
    <t>Акцизы по подакцизным товарам  (продукции), производимым на территории Российской Федерации</t>
  </si>
  <si>
    <t>134 1 17 05050 13 0000 180</t>
  </si>
  <si>
    <t>134 1 11 05075 13 0000 120</t>
  </si>
  <si>
    <t>119 1 11 07015 13 0000 120</t>
  </si>
  <si>
    <t>134 1 14 02053 13 0000 410</t>
  </si>
  <si>
    <t>прочие неналоговые доходы бюджетов городских поселений (соц.найм МБУ)</t>
  </si>
  <si>
    <t>- оплата налога на имущество и транспортного налога</t>
  </si>
  <si>
    <t xml:space="preserve">- прочие расходы </t>
  </si>
  <si>
    <t xml:space="preserve"> - оплата услуг связи</t>
  </si>
  <si>
    <t>- оплата услуг связи</t>
  </si>
  <si>
    <t>- проведение мероприятий в области молодежной политики и обеспечение деятельности учреждений</t>
  </si>
  <si>
    <t>- проведение мероприятий в области культуры учреждениями соц. Сферы и обеспечение деятельности учреждений</t>
  </si>
  <si>
    <t>- ежемесячные взносы на кап.ремонт жил.фонда</t>
  </si>
  <si>
    <t>Содержание МБУ</t>
  </si>
  <si>
    <t>Земельный налог с организаций</t>
  </si>
  <si>
    <t>Земельный налог с физических лиц</t>
  </si>
  <si>
    <t>100 1 03 02000 01 0000 110</t>
  </si>
  <si>
    <t>182 1 06 01030 13 0000 110</t>
  </si>
  <si>
    <t>182 1 06 06033 13 0000 110</t>
  </si>
  <si>
    <t>182 1 06 06043 13 0000 110</t>
  </si>
  <si>
    <t>Дотации бюджетам бюджетной системы Российской Федерации</t>
  </si>
  <si>
    <t xml:space="preserve">Дотации бюджетам городских поселений на выравнивание бюджетной обеспеченности </t>
  </si>
  <si>
    <t>В том числе:</t>
  </si>
  <si>
    <t>Погашение кредиторской задолженности за 2014 год (ВЦП "Дорожная деятельность...")</t>
  </si>
  <si>
    <t>Межбюджетные трансферты</t>
  </si>
  <si>
    <t>мероприятия по землеустройству и землепользованию</t>
  </si>
  <si>
    <t>Физическая культура</t>
  </si>
  <si>
    <t>000 1 13 02000 00 0000 130</t>
  </si>
  <si>
    <t>- содержание автомобильных дорог общего пользования (в т.ч. ВЦП)</t>
  </si>
  <si>
    <t>Оплата судебных издержек</t>
  </si>
  <si>
    <t>- капитальный ремонт жилого фонда за счет средств  бюджета</t>
  </si>
  <si>
    <t>- межбюджетные трансферты на осуществление переданных полномочий по решению вопросов местного значения поселений (архитектура, ГО и ЧС)</t>
  </si>
  <si>
    <t>-субсидии бюджетным учреждениям на иные цели.</t>
  </si>
  <si>
    <t>ДОХОДЫ ОТ КОМПЕНСАЦИИ ЗАТРАТ ГОСУДАРСТВА</t>
  </si>
  <si>
    <t>5200000000</t>
  </si>
  <si>
    <t>Субсидия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 в границах городских поселений области за счет средств областного дорожного фонда</t>
  </si>
  <si>
    <t>134 1 14 06000 13 0000 430</t>
  </si>
  <si>
    <t>Прочие межбюджетные трансферты общего характера, передаваемые бюджетам городских поселений из бюджета Энгельсского муниципального района</t>
  </si>
  <si>
    <t>Субсидия бюджетам городских поселений на поддержку государственных программ субьектов Российской Федерации и муниципальных программ формирования современной городской среды</t>
  </si>
  <si>
    <t>2630006900</t>
  </si>
  <si>
    <t>Расходы на выплату возмещения собственникам жилых помещений, изымаемых в целях сноса аварийного жилого фонда</t>
  </si>
  <si>
    <t>Прочие поступления от денежных взысканий (штрафов) и иных сумм в возмещение ущерба, зачисляемые в бюджеты городских поселенийгородских поселений</t>
  </si>
  <si>
    <t>000 1 16 900050 13 0000 140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</si>
  <si>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</si>
  <si>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000 1 16 33050 13 0000 140</t>
  </si>
  <si>
    <t>6900103500            6900103700</t>
  </si>
  <si>
    <t>6900103400</t>
  </si>
  <si>
    <t>73002Z0000                    100</t>
  </si>
  <si>
    <t xml:space="preserve"> 4700000000</t>
  </si>
  <si>
    <t>730031200</t>
  </si>
  <si>
    <t>7100405400               7100411800</t>
  </si>
  <si>
    <t>000 2 02 04000 00 0000 150</t>
  </si>
  <si>
    <t>119 2 02 25555 13 0000 150</t>
  </si>
  <si>
    <t>119 2 02 01001 13 0000 150</t>
  </si>
  <si>
    <t>000 2 02 01000 00 0000 150</t>
  </si>
  <si>
    <t>Прочие безвозмездные поступления в бюджеты городских поселений</t>
  </si>
  <si>
    <t xml:space="preserve">Прочие безвозмездные поступления </t>
  </si>
  <si>
    <t>000 2 07 00000 00 0000 000</t>
  </si>
  <si>
    <t>119 2 07 05030 13 0073 150</t>
  </si>
  <si>
    <t>119 2 02 29999 13 0080 150</t>
  </si>
  <si>
    <t>000 2 02 20000 00 0000 150</t>
  </si>
  <si>
    <t>119 2 02 25021 13 0000 150</t>
  </si>
  <si>
    <t>Субсидии бюджетам городских поселений на мероприятия по стимулированию программ развития жилищного строительства субъектов Российской Федерации</t>
  </si>
  <si>
    <t>119 2 02 29999 13 0075 150</t>
  </si>
  <si>
    <t>Субсидии бюджетам городских поселений области на обеспечение повышения оплаты труда некоторых категорий работников мунциипальных учреждений</t>
  </si>
  <si>
    <t>6800000000</t>
  </si>
  <si>
    <t>420000000</t>
  </si>
  <si>
    <t>- обеспечение первичных мер пожарной безопасности в границах населенных пунктов в рамках МП</t>
  </si>
  <si>
    <t>- озеленение и прочие мероприятия по благоустройству  общественных территорий</t>
  </si>
  <si>
    <t>1105</t>
  </si>
  <si>
    <t>Другие вопросы в области физической культуры и спорта</t>
  </si>
  <si>
    <t>46000000,710F150210</t>
  </si>
  <si>
    <t xml:space="preserve"> - строительство, реконструкция,кап.ремонти ремонт автомобильных дорог общего пользования за счет средств областного дорожного фонда</t>
  </si>
  <si>
    <t>- строительство, реконструкция,кап.ремонт и ремонт автомобильных дорог общего пользования</t>
  </si>
  <si>
    <t>7300201500            7300207700                                5900207700</t>
  </si>
  <si>
    <t>- содержание, экспертиза и оценка жил.помещений</t>
  </si>
  <si>
    <t>119 2 02 29999 13 0073 150</t>
  </si>
  <si>
    <t>Субсидии бюджетам городских поселений области на реализацию проектов развития муниципальных образований области, основанных на местных инициативах</t>
  </si>
  <si>
    <t>119 2 02 29999 13 0071 150</t>
  </si>
  <si>
    <t>123 1 11 05013 13 0000 120</t>
  </si>
  <si>
    <t>123 1 11 05025 13 0000 120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</si>
  <si>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автономных учреждений, а также земельных участков муниципальных унитарных предприятий, в том числе казенных)</t>
  </si>
  <si>
    <t>План 9 месяцев на 01.10.2019 г.</t>
  </si>
  <si>
    <t>Иные межбюджетные трансферты бюджетам муниципальных районов, городских округов и поселений области в целях обеспечения надлежащего осуществления полномочий по решению вопросов местного значения</t>
  </si>
  <si>
    <t>119 2 02 49999 13 0013 150</t>
  </si>
  <si>
    <t>119 20 7 05030 13 0000 150</t>
  </si>
  <si>
    <t>2630003300</t>
  </si>
  <si>
    <t>- расходы на подготовку и проведение выборов в органы местного самоуправления</t>
  </si>
  <si>
    <t>73002Z0000                                        104,100</t>
  </si>
  <si>
    <t>8300000000</t>
  </si>
  <si>
    <t>ВЦП"Устройство детских игровых площадок на территории муниципального образования город Энгельс Энгельсского муниципального района Саратовской области в 2018-2020 годах"</t>
  </si>
  <si>
    <t>Выполнение работ по рекультивации земель городского поселения</t>
  </si>
  <si>
    <t>7100700000</t>
  </si>
  <si>
    <t>- МП "Формирование современной городской среды на территории муниципального образования город Энгельс Энгельсского муниципального района Саратовской области на 2018-2022 годы" (ремонт дворовых и общественных территорий)</t>
  </si>
  <si>
    <t>Расходы на обеспечение деятельности МКУ "Городское хозяйство":</t>
  </si>
  <si>
    <t>0407</t>
  </si>
  <si>
    <t>Лесное хозяйство</t>
  </si>
  <si>
    <t>- коммунальные услуги</t>
  </si>
  <si>
    <t xml:space="preserve"> - заработная плата с начислениями на оплату труда</t>
  </si>
  <si>
    <t>0709</t>
  </si>
  <si>
    <t>Другие вопросы в области образования</t>
  </si>
  <si>
    <t>МБТ ГО и ЧС</t>
  </si>
  <si>
    <t>001,002</t>
  </si>
  <si>
    <t>011</t>
  </si>
  <si>
    <t>003</t>
  </si>
  <si>
    <t>007,008</t>
  </si>
  <si>
    <t xml:space="preserve">                              4700000000</t>
  </si>
  <si>
    <t>- организация и содержание мест захоронения, в т.ч.погашение кред.задолж.</t>
  </si>
  <si>
    <t>- предотвращения рисков возникновения ЧС  (в рамках ВЦП) в т.ч.погашение кред.задолж.</t>
  </si>
  <si>
    <t>000 1 13 01990 00 0000 130</t>
  </si>
  <si>
    <t xml:space="preserve">ДОХОДЫ ОТ ОКАЗАНИЯ ПЛАТНЫХ УСЛУГ </t>
  </si>
  <si>
    <t>000 1 16 00000 00 0000 140</t>
  </si>
  <si>
    <t>119 2 02 49999 13 0001 150</t>
  </si>
  <si>
    <t>119 2 02 49999 13 0002 150</t>
  </si>
  <si>
    <t>119 2 02 45390 13 0000 150</t>
  </si>
  <si>
    <t xml:space="preserve">
</t>
  </si>
  <si>
    <t>Межбюджетные трансферты, передаваемые бюджетам городских поселений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</si>
  <si>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городских поселений из бюджета Энгельсского муниципального района, за счет средств субсидии из областного бюджета бюджетам муниципальных районов и городских округов области на обеспечение расходных обязательств, связанных с повышением оплаты труда отдельным категориям работников бюджетной сферы в целях реализации Указов Президента Российской Федерации от 7 мая 2012 года № 597 "О мероприятиях по реализации государственной социальной политики" и от 1 июня 2012 года № 761 "О Национальной стратегии действий в интересах детей на 2012-2017 годы" в рамках реализации государственной программы Саратовской области "Развитие государственного и муниципального управления до 2020 года" и условиях ее расходования</t>
  </si>
  <si>
    <t>- прочие расходы , из них:</t>
  </si>
  <si>
    <t>Укрепление и развитие материально-технической базы в рамках МП «Молодёжь муниципального образования город Энгельс Энгельсского муниципального района Саратовской области» (строительство универсальной спортивной площадки)</t>
  </si>
  <si>
    <t xml:space="preserve">Ведомственная целевая программа "Развитие физической культуры и спорта на территории муниципального образования город Энгельс Энгельсского муниципального района Саратовской области" </t>
  </si>
  <si>
    <t>-Расходы на прочие закупки товаров, работ и услуг</t>
  </si>
  <si>
    <t>414</t>
  </si>
  <si>
    <t>Организация и проведение физкультурно-оздоровительных и спортивно-массовых мероприятий</t>
  </si>
  <si>
    <t>Укрепление и развитие материально-технической базы</t>
  </si>
  <si>
    <t xml:space="preserve">Обеспечение первичных мер пожарной безопасности </t>
  </si>
  <si>
    <t>Организация и проведение мероприятий по популяризации народного творчества и культурно-досуговой деятельности</t>
  </si>
  <si>
    <t>Укрепление и развитие материально-технической базы муниципальных организаций культуры</t>
  </si>
  <si>
    <t>- заработная плата с начислениями на оплату труда (МБУ "Энгельсская молодежь"</t>
  </si>
  <si>
    <t>- заработная плата с начислениями на оплату труда (оплата труда несовешеннолетним)</t>
  </si>
  <si>
    <t>- прочие расходы, из низ:</t>
  </si>
  <si>
    <t>Обеспечение первичных мер пожарной безопасности</t>
  </si>
  <si>
    <t xml:space="preserve">Первоначальный  годовой план 
</t>
  </si>
  <si>
    <t xml:space="preserve">Уточненный  годовой план </t>
  </si>
  <si>
    <t>Процент исполнения плана 1 квартала</t>
  </si>
  <si>
    <t>4</t>
  </si>
  <si>
    <t>5</t>
  </si>
  <si>
    <t>6</t>
  </si>
  <si>
    <t>7</t>
  </si>
  <si>
    <t>10</t>
  </si>
  <si>
    <t>12</t>
  </si>
  <si>
    <t>71009Z0000; 46000000</t>
  </si>
  <si>
    <t>- ремонт дворовых и общественных территорий (в рамках МП "Современная городская среда")</t>
  </si>
  <si>
    <t>73001Z0000            73004Z0000</t>
  </si>
  <si>
    <t>7100300000;          7101101500</t>
  </si>
  <si>
    <t>Реализация регионального проекта (программы) в целях выполнения задач федерального проекта "Цифровая культура"</t>
  </si>
  <si>
    <t>Проведение мероприятий по энергоснабжению и повышению энергетической эффективности организаций культуры"</t>
  </si>
  <si>
    <t>в т.ч. МБТ на организацию похоронного дела, ГО и ЧС</t>
  </si>
  <si>
    <t>119 2 02 49999 13 0003 150</t>
  </si>
  <si>
    <t>119 2 18 05030 13 0000 150</t>
  </si>
  <si>
    <t>Доходы бюджетов городских поселений от возврата  иными организациями остатков субсидий прошлых лет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</si>
  <si>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поселений</t>
  </si>
  <si>
    <t>119 2 19 25555 13 0000 150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</si>
  <si>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</si>
  <si>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</si>
  <si>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000 2 19 00000 00 0000 000</t>
  </si>
  <si>
    <t>Возврат остатков субсидий, субвенций и иных межбюджетных трансйфертов, имеющих целевое назначение, прошлых лет из бюджетов поселений</t>
  </si>
  <si>
    <t>119 2 02 45453 13 0000 150</t>
  </si>
  <si>
    <t>Межбюджетные трансферты, передаваемые бюджетам городских поселений на  создание виртуальных концертных залов</t>
  </si>
  <si>
    <t>Межбюджетные трансферты, передаваемые бюджетам муниципальных районов на  создание виртуальных концертных залов</t>
  </si>
  <si>
    <t>Прочие межбюджетные трансферты, передаваемые бюджетам</t>
  </si>
  <si>
    <t>000 2 02 45393 00 0000 000</t>
  </si>
  <si>
    <t>000 2 02 45453 00 0000 000</t>
  </si>
  <si>
    <t>000 2 02 49999 00 0000 000</t>
  </si>
  <si>
    <t>- осуществление пассажирских перевозок, осуществляемых городским наземным электрическим транспортом</t>
  </si>
  <si>
    <t>-расходы на выплату возмещения (выкуп) за изымаемые у собственников земельные участки и помещения в многоквартирных домах, признанных аварийными и подлежащими сносу, в том числе оплата по судам</t>
  </si>
  <si>
    <t>-выполнение работ по подготовке схемы теплоснабжения</t>
  </si>
  <si>
    <t>Межбюджетные трансферты, передаваемые бюджетам городских поселений области за счет средств резервного фонда Правительства Саратовской области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</si>
  <si>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</si>
  <si>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Уд. вес
в 2021 г.</t>
  </si>
  <si>
    <t>Анализ исполнения  бюджета муниципального образования город Энгельс за  за 9 месяцев 2021 года</t>
  </si>
  <si>
    <t>План 9 месяцев 2021 г.</t>
  </si>
  <si>
    <t>Фактическое
исполнение
на 01.10.2020 г.</t>
  </si>
  <si>
    <t>Фактическое
исполнение
на 01.10.2021 г.</t>
  </si>
  <si>
    <t>Процент исполнения плана 9 месяцев 2021 г.</t>
  </si>
  <si>
    <t>Сравнение исполнения на 01.10.2020 и 2021 гг.      (гр.7-гр.6)</t>
  </si>
  <si>
    <t>0405</t>
  </si>
  <si>
    <t>Мероприятия при осуществлении деятельности по обращению с животными без владельцев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</si>
  <si>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</si>
  <si>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123 1 14 06025 13 0000 430</t>
  </si>
  <si>
    <t>123 1 14 06313 13 0000 430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</si>
  <si>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</si>
  <si>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123 1 16 01074 01 0000 140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</si>
  <si>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</si>
  <si>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119 1 16 01154 01 0000 140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</si>
  <si>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</si>
  <si>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125 1 16 07090 13 0000 140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</si>
  <si>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</si>
  <si>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Межбюджетные трансферты, передаваемые бюджету муниципального образования город Энгельс Энгельсского муниципального района Саратовской области из бюджета Энгельсского муниципального района на осуществление мероприятий с целью оформления прав собственности на бесхозяйные объекты газораспределения</t>
  </si>
  <si>
    <t>119 2 02 49999 13 0006 150</t>
  </si>
  <si>
    <t>119 2 02 49999 13 0007 150</t>
  </si>
  <si>
    <t>123 1 17 01050 10 0000 180</t>
  </si>
  <si>
    <t>125 1 17 01050 10 0000 180</t>
  </si>
  <si>
    <t>102 1 17 05050 13 0000 180</t>
  </si>
  <si>
    <t>прочие неналоговые доходы бюджетов городских поселений</t>
  </si>
  <si>
    <t>119 1 17 05050 13 0000 180</t>
  </si>
  <si>
    <t>119 2 18 60010 13 0000 150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</si>
  <si>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</si>
  <si>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бюджетов муниципальных округов от возврата остатков субсидий, субвенций и иных межбюджетных трансфертов, имеющих целевое назначение, прошлых лет из иных бюджетов бюджетной системы Российской Федерации</t>
  </si>
  <si>
    <t>125 1 11 09045 13 0000 120</t>
  </si>
  <si>
    <t>102 1 11 09080 13 0000 120</t>
  </si>
  <si>
    <t>106 1 16 10123 01 0000 140</t>
  </si>
  <si>
    <t>119 1 16 10123 01 0000 140</t>
  </si>
  <si>
    <t>182 1 16 10123 01 0000 140</t>
  </si>
  <si>
    <t>Межбюджетные трансферты, передаваемые бюджету муниципального образования город Энгельс Энгельсского муниципального района Саратовской области из бюджета Энгельсского муниципального района на обеспечение капитального ремонта, ремонта и содержания автомобильных дорог общего пользования местного значения городского поселения за счет средств муниципального дорожного фонда</t>
  </si>
</sst>
</file>

<file path=xl/styles.xml><?xml version="1.0" encoding="utf-8"?>
<styleSheet xmlns="http://schemas.openxmlformats.org/spreadsheetml/2006/main">
  <numFmts count="8">
    <numFmt numFmtId="43" formatCode="_-* #,##0.00_р_._-;\-* #,##0.00_р_._-;_-* &quot;-&quot;??_р_._-;_-@_-"/>
    <numFmt numFmtId="164" formatCode="0.0"/>
    <numFmt numFmtId="165" formatCode="0.0%"/>
    <numFmt numFmtId="166" formatCode="_-* #,##0.0_р_._-;\-* #,##0.0_р_._-;_-* &quot;-&quot;??_р_._-;_-@_-"/>
    <numFmt numFmtId="167" formatCode="#,##0.0"/>
    <numFmt numFmtId="168" formatCode="\+#,##0.0;\-#,##0.0"/>
    <numFmt numFmtId="169" formatCode="#,##0.00;[Red]\-#,##0.00;0.00"/>
    <numFmt numFmtId="170" formatCode="#,##0.00\ &quot;₽&quot;"/>
  </numFmts>
  <fonts count="27">
    <font>
      <sz val="10"/>
      <name val="Arial Cyr"/>
      <charset val="204"/>
    </font>
    <font>
      <sz val="10"/>
      <name val="Arial Cyr"/>
      <charset val="204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b/>
      <sz val="11"/>
      <name val="Arial Narrow"/>
      <family val="2"/>
    </font>
    <font>
      <b/>
      <u/>
      <sz val="9"/>
      <name val="Arial Narrow"/>
      <family val="2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10"/>
      <name val="Arial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04"/>
    </font>
    <font>
      <sz val="7"/>
      <name val="Arial Narrow"/>
      <family val="2"/>
      <charset val="204"/>
    </font>
    <font>
      <b/>
      <sz val="11"/>
      <name val="Arial Narrow"/>
      <family val="2"/>
      <charset val="204"/>
    </font>
    <font>
      <vertAlign val="superscript"/>
      <sz val="9.9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9"/>
      <name val="Arial Narrow"/>
      <family val="2"/>
      <charset val="204"/>
    </font>
    <font>
      <i/>
      <sz val="9"/>
      <name val="Arial Narrow"/>
      <family val="2"/>
      <charset val="204"/>
    </font>
    <font>
      <sz val="9"/>
      <color theme="1"/>
      <name val="Arial Narrow"/>
      <family val="2"/>
    </font>
    <font>
      <sz val="9"/>
      <color rgb="FF000000"/>
      <name val="Arial Narrow"/>
      <family val="2"/>
      <charset val="204"/>
    </font>
    <font>
      <sz val="9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7F9C2"/>
        <bgColor indexed="64"/>
      </patternFill>
    </fill>
    <fill>
      <patternFill patternType="solid">
        <fgColor rgb="FFB7F8C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C2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/>
    </xf>
    <xf numFmtId="167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left" vertical="justify" wrapText="1"/>
    </xf>
    <xf numFmtId="168" fontId="4" fillId="0" borderId="0" xfId="0" applyNumberFormat="1" applyFont="1" applyFill="1" applyBorder="1" applyAlignment="1">
      <alignment horizontal="left" vertical="justify" wrapText="1"/>
    </xf>
    <xf numFmtId="168" fontId="14" fillId="0" borderId="0" xfId="0" applyNumberFormat="1" applyFont="1" applyFill="1" applyBorder="1" applyAlignment="1">
      <alignment horizontal="left" vertical="justify" wrapText="1"/>
    </xf>
    <xf numFmtId="168" fontId="10" fillId="0" borderId="0" xfId="0" applyNumberFormat="1" applyFont="1" applyFill="1" applyBorder="1" applyAlignment="1">
      <alignment horizontal="left" vertical="justify" wrapText="1"/>
    </xf>
    <xf numFmtId="0" fontId="10" fillId="0" borderId="0" xfId="0" applyFont="1" applyFill="1" applyBorder="1" applyAlignment="1">
      <alignment horizontal="left" vertical="justify" wrapText="1"/>
    </xf>
    <xf numFmtId="0" fontId="9" fillId="0" borderId="0" xfId="0" applyFont="1" applyFill="1" applyBorder="1" applyAlignment="1">
      <alignment vertical="center"/>
    </xf>
    <xf numFmtId="167" fontId="12" fillId="0" borderId="1" xfId="0" applyNumberFormat="1" applyFont="1" applyFill="1" applyBorder="1" applyAlignment="1" applyProtection="1">
      <alignment horizontal="right" vertical="center"/>
      <protection locked="0"/>
    </xf>
    <xf numFmtId="167" fontId="7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justify" vertical="center"/>
    </xf>
    <xf numFmtId="49" fontId="8" fillId="0" borderId="1" xfId="0" applyNumberFormat="1" applyFont="1" applyFill="1" applyBorder="1" applyAlignment="1">
      <alignment horizontal="justify" vertical="center"/>
    </xf>
    <xf numFmtId="167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16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/>
      <protection locked="0"/>
    </xf>
    <xf numFmtId="16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67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>
      <alignment horizontal="justify" vertical="center"/>
    </xf>
    <xf numFmtId="167" fontId="3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justify" vertical="center"/>
    </xf>
    <xf numFmtId="0" fontId="6" fillId="0" borderId="1" xfId="0" applyNumberFormat="1" applyFont="1" applyFill="1" applyBorder="1" applyAlignment="1">
      <alignment horizontal="justify"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justify" vertical="center"/>
    </xf>
    <xf numFmtId="167" fontId="15" fillId="0" borderId="0" xfId="0" applyNumberFormat="1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right" vertical="center" wrapText="1"/>
    </xf>
    <xf numFmtId="165" fontId="9" fillId="2" borderId="1" xfId="3" applyNumberFormat="1" applyFont="1" applyFill="1" applyBorder="1" applyAlignment="1">
      <alignment horizontal="right" vertical="center"/>
    </xf>
    <xf numFmtId="167" fontId="9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justify" vertical="center" wrapText="1"/>
    </xf>
    <xf numFmtId="0" fontId="9" fillId="2" borderId="1" xfId="0" applyNumberFormat="1" applyFont="1" applyFill="1" applyBorder="1" applyAlignment="1">
      <alignment horizontal="justify" vertical="center"/>
    </xf>
    <xf numFmtId="49" fontId="9" fillId="2" borderId="1" xfId="0" applyNumberFormat="1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center"/>
    </xf>
    <xf numFmtId="167" fontId="3" fillId="2" borderId="1" xfId="0" applyNumberFormat="1" applyFont="1" applyFill="1" applyBorder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165" fontId="8" fillId="2" borderId="1" xfId="3" applyNumberFormat="1" applyFont="1" applyFill="1" applyBorder="1" applyAlignment="1">
      <alignment horizontal="right" vertical="center"/>
    </xf>
    <xf numFmtId="168" fontId="8" fillId="2" borderId="1" xfId="0" applyNumberFormat="1" applyFont="1" applyFill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49" fontId="8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justify" vertical="center"/>
    </xf>
    <xf numFmtId="167" fontId="3" fillId="4" borderId="1" xfId="0" applyNumberFormat="1" applyFont="1" applyFill="1" applyBorder="1" applyAlignment="1">
      <alignment horizontal="right" vertical="center"/>
    </xf>
    <xf numFmtId="167" fontId="3" fillId="4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justify" vertical="center"/>
    </xf>
    <xf numFmtId="167" fontId="3" fillId="5" borderId="1" xfId="0" applyNumberFormat="1" applyFont="1" applyFill="1" applyBorder="1" applyAlignment="1">
      <alignment horizontal="right" vertical="center"/>
    </xf>
    <xf numFmtId="167" fontId="12" fillId="0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right" vertical="center" wrapText="1"/>
    </xf>
    <xf numFmtId="167" fontId="8" fillId="5" borderId="1" xfId="0" applyNumberFormat="1" applyFont="1" applyFill="1" applyBorder="1" applyAlignment="1">
      <alignment horizontal="right" vertical="center" wrapText="1"/>
    </xf>
    <xf numFmtId="167" fontId="8" fillId="5" borderId="1" xfId="0" applyNumberFormat="1" applyFont="1" applyFill="1" applyBorder="1" applyAlignment="1">
      <alignment horizontal="right" vertical="center"/>
    </xf>
    <xf numFmtId="49" fontId="8" fillId="5" borderId="1" xfId="0" applyNumberFormat="1" applyFont="1" applyFill="1" applyBorder="1" applyAlignment="1">
      <alignment horizontal="justify" vertical="center" wrapText="1"/>
    </xf>
    <xf numFmtId="167" fontId="3" fillId="6" borderId="1" xfId="0" applyNumberFormat="1" applyFont="1" applyFill="1" applyBorder="1" applyAlignment="1">
      <alignment horizontal="right" vertical="center"/>
    </xf>
    <xf numFmtId="167" fontId="11" fillId="4" borderId="1" xfId="0" applyNumberFormat="1" applyFont="1" applyFill="1" applyBorder="1" applyAlignment="1" applyProtection="1">
      <alignment horizontal="right" vertical="center"/>
    </xf>
    <xf numFmtId="167" fontId="8" fillId="4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4" borderId="2" xfId="0" applyNumberFormat="1" applyFont="1" applyFill="1" applyBorder="1" applyAlignment="1" applyProtection="1">
      <alignment horizontal="right" vertical="center"/>
    </xf>
    <xf numFmtId="167" fontId="9" fillId="4" borderId="1" xfId="0" applyNumberFormat="1" applyFont="1" applyFill="1" applyBorder="1" applyAlignment="1" applyProtection="1">
      <alignment horizontal="right" vertical="center"/>
    </xf>
    <xf numFmtId="167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Fill="1" applyBorder="1" applyAlignment="1" applyProtection="1">
      <alignment horizontal="left" vertical="top" wrapText="1"/>
      <protection locked="0"/>
    </xf>
    <xf numFmtId="167" fontId="2" fillId="4" borderId="1" xfId="0" applyNumberFormat="1" applyFont="1" applyFill="1" applyBorder="1" applyAlignment="1">
      <alignment horizontal="right" vertical="center"/>
    </xf>
    <xf numFmtId="167" fontId="9" fillId="4" borderId="1" xfId="0" applyNumberFormat="1" applyFont="1" applyFill="1" applyBorder="1" applyAlignment="1">
      <alignment horizontal="right" vertical="center"/>
    </xf>
    <xf numFmtId="0" fontId="7" fillId="4" borderId="1" xfId="0" applyNumberFormat="1" applyFont="1" applyFill="1" applyBorder="1" applyAlignment="1">
      <alignment horizontal="justify" vertical="center"/>
    </xf>
    <xf numFmtId="0" fontId="9" fillId="5" borderId="1" xfId="0" applyNumberFormat="1" applyFont="1" applyFill="1" applyBorder="1" applyAlignment="1">
      <alignment horizontal="justify" vertical="center"/>
    </xf>
    <xf numFmtId="0" fontId="22" fillId="0" borderId="0" xfId="0" applyFont="1" applyFill="1" applyBorder="1" applyAlignment="1">
      <alignment vertical="center"/>
    </xf>
    <xf numFmtId="167" fontId="11" fillId="5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167" fontId="12" fillId="6" borderId="1" xfId="0" applyNumberFormat="1" applyFont="1" applyFill="1" applyBorder="1" applyAlignment="1" applyProtection="1">
      <alignment horizontal="right" vertical="center"/>
    </xf>
    <xf numFmtId="167" fontId="12" fillId="6" borderId="1" xfId="0" applyNumberFormat="1" applyFont="1" applyFill="1" applyBorder="1" applyAlignment="1" applyProtection="1">
      <alignment horizontal="right" vertical="center"/>
      <protection locked="0"/>
    </xf>
    <xf numFmtId="167" fontId="8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justify" vertical="center"/>
    </xf>
    <xf numFmtId="49" fontId="8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8" fillId="6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justify" vertical="center"/>
    </xf>
    <xf numFmtId="0" fontId="8" fillId="6" borderId="1" xfId="0" applyFont="1" applyFill="1" applyBorder="1" applyAlignment="1">
      <alignment horizontal="justify" wrapText="1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167" fontId="3" fillId="7" borderId="1" xfId="0" applyNumberFormat="1" applyFont="1" applyFill="1" applyBorder="1" applyAlignment="1">
      <alignment horizontal="right" vertical="center" wrapText="1"/>
    </xf>
    <xf numFmtId="167" fontId="3" fillId="7" borderId="1" xfId="0" applyNumberFormat="1" applyFont="1" applyFill="1" applyBorder="1" applyAlignment="1">
      <alignment horizontal="right" vertical="center"/>
    </xf>
    <xf numFmtId="167" fontId="8" fillId="7" borderId="1" xfId="0" applyNumberFormat="1" applyFont="1" applyFill="1" applyBorder="1" applyAlignment="1">
      <alignment horizontal="right" vertical="center"/>
    </xf>
    <xf numFmtId="0" fontId="3" fillId="7" borderId="0" xfId="0" applyFont="1" applyFill="1" applyBorder="1" applyAlignment="1">
      <alignment horizontal="center" vertical="center"/>
    </xf>
    <xf numFmtId="165" fontId="8" fillId="7" borderId="1" xfId="3" applyNumberFormat="1" applyFont="1" applyFill="1" applyBorder="1" applyAlignment="1">
      <alignment horizontal="right" vertical="center"/>
    </xf>
    <xf numFmtId="165" fontId="3" fillId="7" borderId="1" xfId="3" applyNumberFormat="1" applyFont="1" applyFill="1" applyBorder="1" applyAlignment="1">
      <alignment horizontal="right" vertical="center"/>
    </xf>
    <xf numFmtId="167" fontId="9" fillId="3" borderId="1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165" fontId="2" fillId="0" borderId="1" xfId="3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 wrapText="1"/>
    </xf>
    <xf numFmtId="167" fontId="8" fillId="6" borderId="1" xfId="0" applyNumberFormat="1" applyFont="1" applyFill="1" applyBorder="1" applyAlignment="1">
      <alignment horizontal="right" vertical="center"/>
    </xf>
    <xf numFmtId="167" fontId="3" fillId="6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165" fontId="3" fillId="6" borderId="1" xfId="3" applyNumberFormat="1" applyFont="1" applyFill="1" applyBorder="1" applyAlignment="1">
      <alignment horizontal="right" vertical="center"/>
    </xf>
    <xf numFmtId="165" fontId="3" fillId="5" borderId="1" xfId="3" applyNumberFormat="1" applyFont="1" applyFill="1" applyBorder="1" applyAlignment="1">
      <alignment horizontal="right" vertical="center"/>
    </xf>
    <xf numFmtId="167" fontId="8" fillId="3" borderId="1" xfId="0" applyNumberFormat="1" applyFont="1" applyFill="1" applyBorder="1" applyAlignment="1">
      <alignment horizontal="right" vertical="center" wrapText="1"/>
    </xf>
    <xf numFmtId="167" fontId="8" fillId="3" borderId="1" xfId="0" applyNumberFormat="1" applyFont="1" applyFill="1" applyBorder="1" applyAlignment="1">
      <alignment horizontal="right" vertical="center"/>
    </xf>
    <xf numFmtId="167" fontId="22" fillId="0" borderId="1" xfId="0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6" fontId="3" fillId="0" borderId="1" xfId="4" applyNumberFormat="1" applyFont="1" applyFill="1" applyBorder="1" applyAlignment="1">
      <alignment vertical="center"/>
    </xf>
    <xf numFmtId="165" fontId="3" fillId="0" borderId="1" xfId="3" applyNumberFormat="1" applyFont="1" applyFill="1" applyBorder="1" applyAlignment="1">
      <alignment horizontal="right" vertical="center"/>
    </xf>
    <xf numFmtId="167" fontId="9" fillId="8" borderId="1" xfId="0" applyNumberFormat="1" applyFont="1" applyFill="1" applyBorder="1" applyAlignment="1">
      <alignment horizontal="right" vertical="center" wrapText="1"/>
    </xf>
    <xf numFmtId="165" fontId="9" fillId="8" borderId="1" xfId="3" applyNumberFormat="1" applyFont="1" applyFill="1" applyBorder="1" applyAlignment="1">
      <alignment horizontal="right" vertical="center"/>
    </xf>
    <xf numFmtId="168" fontId="9" fillId="8" borderId="1" xfId="0" applyNumberFormat="1" applyFont="1" applyFill="1" applyBorder="1" applyAlignment="1">
      <alignment horizontal="right" vertical="center"/>
    </xf>
    <xf numFmtId="167" fontId="9" fillId="8" borderId="1" xfId="0" applyNumberFormat="1" applyFont="1" applyFill="1" applyBorder="1" applyAlignment="1">
      <alignment horizontal="right" vertical="center"/>
    </xf>
    <xf numFmtId="165" fontId="2" fillId="6" borderId="2" xfId="3" applyNumberFormat="1" applyFont="1" applyFill="1" applyBorder="1" applyAlignment="1">
      <alignment horizontal="right" vertical="center"/>
    </xf>
    <xf numFmtId="167" fontId="2" fillId="6" borderId="1" xfId="0" applyNumberFormat="1" applyFont="1" applyFill="1" applyBorder="1" applyAlignment="1">
      <alignment horizontal="right" vertical="center"/>
    </xf>
    <xf numFmtId="165" fontId="8" fillId="6" borderId="1" xfId="3" applyNumberFormat="1" applyFont="1" applyFill="1" applyBorder="1" applyAlignment="1">
      <alignment horizontal="right" vertical="center"/>
    </xf>
    <xf numFmtId="0" fontId="9" fillId="9" borderId="1" xfId="0" applyNumberFormat="1" applyFont="1" applyFill="1" applyBorder="1" applyAlignment="1">
      <alignment horizontal="justify" vertical="center" wrapText="1"/>
    </xf>
    <xf numFmtId="167" fontId="9" fillId="9" borderId="1" xfId="0" applyNumberFormat="1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 applyProtection="1">
      <alignment horizontal="left" vertical="top"/>
      <protection locked="0"/>
    </xf>
    <xf numFmtId="167" fontId="9" fillId="2" borderId="1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>
      <alignment horizontal="justify" vertical="center" wrapText="1"/>
    </xf>
    <xf numFmtId="165" fontId="9" fillId="4" borderId="1" xfId="3" applyNumberFormat="1" applyFont="1" applyFill="1" applyBorder="1" applyAlignment="1">
      <alignment horizontal="right" vertical="center"/>
    </xf>
    <xf numFmtId="165" fontId="8" fillId="4" borderId="1" xfId="3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justify" vertical="center"/>
    </xf>
    <xf numFmtId="0" fontId="3" fillId="7" borderId="0" xfId="0" applyFont="1" applyFill="1" applyBorder="1" applyAlignment="1">
      <alignment vertical="center"/>
    </xf>
    <xf numFmtId="167" fontId="4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 readingOrder="1"/>
    </xf>
    <xf numFmtId="165" fontId="8" fillId="6" borderId="3" xfId="3" applyNumberFormat="1" applyFont="1" applyFill="1" applyBorder="1" applyAlignment="1">
      <alignment vertical="center"/>
    </xf>
    <xf numFmtId="167" fontId="2" fillId="6" borderId="1" xfId="0" applyNumberFormat="1" applyFont="1" applyFill="1" applyBorder="1" applyAlignment="1">
      <alignment horizontal="justify" vertical="center"/>
    </xf>
    <xf numFmtId="167" fontId="8" fillId="8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8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6" borderId="1" xfId="0" applyNumberFormat="1" applyFont="1" applyFill="1" applyBorder="1" applyAlignment="1">
      <alignment horizontal="justify" vertical="center"/>
    </xf>
    <xf numFmtId="49" fontId="8" fillId="6" borderId="0" xfId="0" applyNumberFormat="1" applyFont="1" applyFill="1" applyBorder="1" applyAlignment="1">
      <alignment horizontal="justify" vertical="center" wrapText="1"/>
    </xf>
    <xf numFmtId="167" fontId="12" fillId="6" borderId="1" xfId="0" applyNumberFormat="1" applyFont="1" applyFill="1" applyBorder="1" applyAlignment="1" applyProtection="1">
      <alignment horizontal="right" vertical="center" wrapText="1"/>
      <protection locked="0"/>
    </xf>
    <xf numFmtId="169" fontId="8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6" borderId="1" xfId="0" applyNumberFormat="1" applyFont="1" applyFill="1" applyBorder="1" applyAlignment="1" applyProtection="1">
      <alignment horizontal="left" vertical="top" wrapText="1"/>
      <protection locked="0"/>
    </xf>
    <xf numFmtId="167" fontId="9" fillId="0" borderId="0" xfId="0" applyNumberFormat="1" applyFont="1" applyFill="1" applyBorder="1" applyAlignment="1">
      <alignment vertical="center"/>
    </xf>
    <xf numFmtId="0" fontId="18" fillId="8" borderId="1" xfId="0" applyFont="1" applyFill="1" applyBorder="1" applyAlignment="1">
      <alignment horizontal="center" vertical="center" wrapText="1"/>
    </xf>
    <xf numFmtId="168" fontId="3" fillId="8" borderId="1" xfId="0" applyNumberFormat="1" applyFont="1" applyFill="1" applyBorder="1" applyAlignment="1">
      <alignment horizontal="right" vertical="center"/>
    </xf>
    <xf numFmtId="165" fontId="3" fillId="8" borderId="1" xfId="3" applyNumberFormat="1" applyFont="1" applyFill="1" applyBorder="1" applyAlignment="1">
      <alignment horizontal="right" vertical="center"/>
    </xf>
    <xf numFmtId="167" fontId="12" fillId="8" borderId="1" xfId="0" applyNumberFormat="1" applyFont="1" applyFill="1" applyBorder="1" applyAlignment="1" applyProtection="1">
      <alignment horizontal="right" vertical="center"/>
    </xf>
    <xf numFmtId="49" fontId="18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Continuous" vertical="center" wrapText="1"/>
    </xf>
    <xf numFmtId="167" fontId="11" fillId="8" borderId="1" xfId="0" applyNumberFormat="1" applyFont="1" applyFill="1" applyBorder="1" applyAlignment="1" applyProtection="1">
      <alignment horizontal="right" vertical="center"/>
    </xf>
    <xf numFmtId="168" fontId="8" fillId="8" borderId="1" xfId="0" applyNumberFormat="1" applyFont="1" applyFill="1" applyBorder="1" applyAlignment="1">
      <alignment horizontal="right" vertical="center"/>
    </xf>
    <xf numFmtId="168" fontId="2" fillId="8" borderId="1" xfId="0" applyNumberFormat="1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horizontal="right" vertical="center"/>
    </xf>
    <xf numFmtId="167" fontId="3" fillId="8" borderId="1" xfId="0" applyNumberFormat="1" applyFont="1" applyFill="1" applyBorder="1" applyAlignment="1">
      <alignment horizontal="right" vertical="center"/>
    </xf>
    <xf numFmtId="165" fontId="8" fillId="8" borderId="1" xfId="3" applyNumberFormat="1" applyFont="1" applyFill="1" applyBorder="1" applyAlignment="1">
      <alignment horizontal="right" vertical="center"/>
    </xf>
    <xf numFmtId="167" fontId="8" fillId="8" borderId="1" xfId="0" applyNumberFormat="1" applyFont="1" applyFill="1" applyBorder="1" applyAlignment="1">
      <alignment horizontal="right" vertical="center"/>
    </xf>
    <xf numFmtId="168" fontId="22" fillId="8" borderId="1" xfId="0" applyNumberFormat="1" applyFont="1" applyFill="1" applyBorder="1" applyAlignment="1">
      <alignment horizontal="right" vertical="center"/>
    </xf>
    <xf numFmtId="165" fontId="2" fillId="8" borderId="2" xfId="3" applyNumberFormat="1" applyFont="1" applyFill="1" applyBorder="1" applyAlignment="1">
      <alignment horizontal="right" vertical="center"/>
    </xf>
    <xf numFmtId="168" fontId="2" fillId="8" borderId="2" xfId="0" applyNumberFormat="1" applyFont="1" applyFill="1" applyBorder="1" applyAlignment="1">
      <alignment horizontal="right" vertical="center"/>
    </xf>
    <xf numFmtId="167" fontId="2" fillId="8" borderId="2" xfId="0" applyNumberFormat="1" applyFont="1" applyFill="1" applyBorder="1" applyAlignment="1">
      <alignment horizontal="right" vertical="center"/>
    </xf>
    <xf numFmtId="165" fontId="9" fillId="8" borderId="2" xfId="3" applyNumberFormat="1" applyFont="1" applyFill="1" applyBorder="1" applyAlignment="1">
      <alignment vertical="center"/>
    </xf>
    <xf numFmtId="165" fontId="8" fillId="8" borderId="2" xfId="3" applyNumberFormat="1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horizontal="right" vertical="center"/>
    </xf>
    <xf numFmtId="165" fontId="9" fillId="5" borderId="1" xfId="3" applyNumberFormat="1" applyFont="1" applyFill="1" applyBorder="1" applyAlignment="1">
      <alignment horizontal="right" vertical="center"/>
    </xf>
    <xf numFmtId="165" fontId="8" fillId="5" borderId="1" xfId="3" applyNumberFormat="1" applyFont="1" applyFill="1" applyBorder="1" applyAlignment="1">
      <alignment horizontal="right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justify" vertical="center" wrapText="1"/>
    </xf>
    <xf numFmtId="167" fontId="2" fillId="5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justify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justify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justify" vertical="center"/>
    </xf>
    <xf numFmtId="165" fontId="22" fillId="0" borderId="1" xfId="3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justify" vertical="center" wrapText="1"/>
    </xf>
    <xf numFmtId="49" fontId="3" fillId="5" borderId="1" xfId="0" applyNumberFormat="1" applyFont="1" applyFill="1" applyBorder="1" applyAlignment="1">
      <alignment horizontal="justify" vertical="center"/>
    </xf>
    <xf numFmtId="167" fontId="9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23" fillId="6" borderId="1" xfId="0" applyNumberFormat="1" applyFont="1" applyFill="1" applyBorder="1" applyAlignment="1">
      <alignment horizontal="right" vertical="center" wrapText="1"/>
    </xf>
    <xf numFmtId="0" fontId="23" fillId="6" borderId="1" xfId="0" applyNumberFormat="1" applyFont="1" applyFill="1" applyBorder="1" applyAlignment="1">
      <alignment horizontal="right" vertical="center" wrapText="1"/>
    </xf>
    <xf numFmtId="49" fontId="23" fillId="0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170" fontId="3" fillId="0" borderId="0" xfId="0" applyNumberFormat="1" applyFont="1" applyFill="1" applyBorder="1" applyAlignment="1">
      <alignment horizontal="justify" vertical="center"/>
    </xf>
    <xf numFmtId="4" fontId="3" fillId="6" borderId="0" xfId="0" applyNumberFormat="1" applyFont="1" applyFill="1" applyBorder="1" applyAlignment="1">
      <alignment horizontal="justify" vertical="center" wrapText="1"/>
    </xf>
    <xf numFmtId="167" fontId="3" fillId="0" borderId="0" xfId="0" applyNumberFormat="1" applyFont="1" applyFill="1" applyBorder="1" applyAlignment="1">
      <alignment vertical="center"/>
    </xf>
    <xf numFmtId="167" fontId="24" fillId="6" borderId="1" xfId="0" applyNumberFormat="1" applyFont="1" applyFill="1" applyBorder="1" applyAlignment="1">
      <alignment horizontal="right" vertical="center" wrapText="1"/>
    </xf>
    <xf numFmtId="167" fontId="5" fillId="7" borderId="0" xfId="0" applyNumberFormat="1" applyFont="1" applyFill="1" applyBorder="1" applyAlignment="1">
      <alignment horizontal="justify" vertical="center"/>
    </xf>
    <xf numFmtId="0" fontId="8" fillId="0" borderId="0" xfId="0" applyFont="1" applyAlignment="1">
      <alignment wrapText="1"/>
    </xf>
    <xf numFmtId="0" fontId="8" fillId="6" borderId="1" xfId="0" applyFont="1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169" fontId="9" fillId="0" borderId="2" xfId="2" applyNumberFormat="1" applyFont="1" applyFill="1" applyBorder="1" applyAlignment="1" applyProtection="1">
      <alignment horizontal="center" vertical="center" wrapText="1"/>
      <protection locked="0"/>
    </xf>
    <xf numFmtId="169" fontId="9" fillId="2" borderId="3" xfId="2" applyNumberFormat="1" applyFont="1" applyFill="1" applyBorder="1" applyAlignment="1" applyProtection="1">
      <alignment horizontal="center" vertical="center" wrapText="1"/>
      <protection locked="0"/>
    </xf>
    <xf numFmtId="165" fontId="9" fillId="0" borderId="1" xfId="3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167" fontId="12" fillId="6" borderId="2" xfId="0" applyNumberFormat="1" applyFont="1" applyFill="1" applyBorder="1" applyAlignment="1" applyProtection="1">
      <alignment horizontal="right" vertical="center"/>
      <protection locked="0"/>
    </xf>
    <xf numFmtId="167" fontId="8" fillId="6" borderId="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167" fontId="8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8" fillId="6" borderId="2" xfId="0" applyFont="1" applyFill="1" applyBorder="1" applyAlignment="1">
      <alignment horizontal="justify" wrapText="1"/>
    </xf>
    <xf numFmtId="49" fontId="9" fillId="0" borderId="3" xfId="0" applyNumberFormat="1" applyFont="1" applyFill="1" applyBorder="1" applyAlignment="1" applyProtection="1">
      <alignment horizontal="left" vertical="top" wrapText="1"/>
      <protection locked="0"/>
    </xf>
    <xf numFmtId="0" fontId="25" fillId="0" borderId="1" xfId="0" applyFont="1" applyBorder="1" applyAlignment="1">
      <alignment horizontal="justify" vertical="center" wrapText="1"/>
    </xf>
    <xf numFmtId="0" fontId="26" fillId="0" borderId="6" xfId="0" applyFont="1" applyBorder="1" applyAlignment="1">
      <alignment vertical="center" wrapText="1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169" fontId="9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justify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8" fillId="0" borderId="1" xfId="0" applyNumberFormat="1" applyFont="1" applyFill="1" applyBorder="1" applyAlignment="1" applyProtection="1">
      <alignment horizontal="right" vertical="center"/>
    </xf>
    <xf numFmtId="0" fontId="25" fillId="0" borderId="3" xfId="0" applyFont="1" applyBorder="1" applyAlignment="1">
      <alignment horizontal="justify" vertical="center" wrapText="1"/>
    </xf>
    <xf numFmtId="165" fontId="2" fillId="4" borderId="2" xfId="3" applyNumberFormat="1" applyFont="1" applyFill="1" applyBorder="1" applyAlignment="1">
      <alignment horizontal="right" vertical="center"/>
    </xf>
    <xf numFmtId="165" fontId="2" fillId="4" borderId="3" xfId="3" applyNumberFormat="1" applyFont="1" applyFill="1" applyBorder="1" applyAlignment="1">
      <alignment horizontal="right" vertical="center"/>
    </xf>
    <xf numFmtId="168" fontId="2" fillId="8" borderId="2" xfId="0" applyNumberFormat="1" applyFont="1" applyFill="1" applyBorder="1" applyAlignment="1">
      <alignment horizontal="right" vertical="center"/>
    </xf>
    <xf numFmtId="168" fontId="2" fillId="8" borderId="3" xfId="0" applyNumberFormat="1" applyFont="1" applyFill="1" applyBorder="1" applyAlignment="1">
      <alignment horizontal="right" vertical="center"/>
    </xf>
    <xf numFmtId="165" fontId="2" fillId="8" borderId="2" xfId="3" applyNumberFormat="1" applyFont="1" applyFill="1" applyBorder="1" applyAlignment="1">
      <alignment horizontal="right" vertical="center"/>
    </xf>
    <xf numFmtId="165" fontId="2" fillId="8" borderId="3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7" fontId="9" fillId="8" borderId="2" xfId="0" applyNumberFormat="1" applyFont="1" applyFill="1" applyBorder="1" applyAlignment="1">
      <alignment horizontal="right" vertical="center"/>
    </xf>
    <xf numFmtId="167" fontId="9" fillId="8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7" fontId="2" fillId="5" borderId="2" xfId="0" applyNumberFormat="1" applyFont="1" applyFill="1" applyBorder="1" applyAlignment="1">
      <alignment horizontal="right" vertical="center"/>
    </xf>
    <xf numFmtId="167" fontId="2" fillId="5" borderId="3" xfId="0" applyNumberFormat="1" applyFont="1" applyFill="1" applyBorder="1" applyAlignment="1">
      <alignment horizontal="right" vertical="center"/>
    </xf>
    <xf numFmtId="167" fontId="2" fillId="4" borderId="2" xfId="0" applyNumberFormat="1" applyFont="1" applyFill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  <xf numFmtId="165" fontId="9" fillId="8" borderId="2" xfId="3" applyNumberFormat="1" applyFont="1" applyFill="1" applyBorder="1" applyAlignment="1">
      <alignment horizontal="center" vertical="center"/>
    </xf>
    <xf numFmtId="165" fontId="9" fillId="8" borderId="3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Tmp43" xfId="2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7F9C2"/>
      <color rgb="FFFFFF66"/>
      <color rgb="FFF8F8D6"/>
      <color rgb="FFFDE9D9"/>
      <color rgb="FFB7FFC2"/>
      <color rgb="FFB7F8C2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DCAD5A58-A349-4381-B079-BF4F706BD9DC}" diskRevisions="1" revisionId="56" version="9">
  <header guid="{05278019-08E2-4F9A-B8A4-FA98482A1862}" dateTime="2021-10-12T10:47:04" maxSheetId="2" userName="РейнгардтЕН" r:id="rId1">
    <sheetIdMap count="1">
      <sheetId val="1"/>
    </sheetIdMap>
  </header>
  <header guid="{B8D2B1C0-D3AA-480B-8CF4-37CF34FA4EF4}" dateTime="2021-10-12T10:47:42" maxSheetId="2" userName="Аристова Кристина" r:id="rId2">
    <sheetIdMap count="1">
      <sheetId val="1"/>
    </sheetIdMap>
  </header>
  <header guid="{79B9C3A1-A50B-4DC5-9194-7240228121F4}" dateTime="2021-10-12T10:48:43" maxSheetId="2" userName="Аристова Кристина" r:id="rId3" minRId="5" maxRId="7">
    <sheetIdMap count="1">
      <sheetId val="1"/>
    </sheetIdMap>
  </header>
  <header guid="{631CFC40-167C-448F-B587-2AEFB1282852}" dateTime="2021-10-12T10:52:20" maxSheetId="2" userName="Аристова Кристина" r:id="rId4" minRId="8" maxRId="14">
    <sheetIdMap count="1">
      <sheetId val="1"/>
    </sheetIdMap>
  </header>
  <header guid="{82DE10C9-AB54-4FAA-997E-42DBCAF4BCE1}" dateTime="2021-10-12T10:54:24" maxSheetId="2" userName="РейнгардтЕН" r:id="rId5" minRId="19" maxRId="30">
    <sheetIdMap count="1">
      <sheetId val="1"/>
    </sheetIdMap>
  </header>
  <header guid="{A4E4708D-7DDF-462E-BCDF-3A2CDE88CC5C}" dateTime="2021-10-12T10:54:26" maxSheetId="2" userName="Аристова Кристина" r:id="rId6" minRId="35">
    <sheetIdMap count="1">
      <sheetId val="1"/>
    </sheetIdMap>
  </header>
  <header guid="{0BE52F91-DCE6-4E9E-A7BE-1A3DAB160A8E}" dateTime="2021-10-12T10:55:16" maxSheetId="2" userName="РейнгардтЕН" r:id="rId7">
    <sheetIdMap count="1">
      <sheetId val="1"/>
    </sheetIdMap>
  </header>
  <header guid="{A2967FD8-690D-466F-BCD6-483F0080CA20}" dateTime="2021-10-12T10:58:14" maxSheetId="2" userName="РейнгардтЕН" r:id="rId8" minRId="44" maxRId="52">
    <sheetIdMap count="1">
      <sheetId val="1"/>
    </sheetIdMap>
  </header>
  <header guid="{DCAD5A58-A349-4381-B079-BF4F706BD9DC}" dateTime="2021-10-12T11:05:28" maxSheetId="2" userName="ГайдуковаЛВ" r:id="rId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dn rId="0" localSheetId="1" customView="1" name="Z_0B13C6EA_3679_47F2_82B5_7AF3B83AB801_.wvu.PrintArea" hidden="1" oldHidden="1">
    <formula>'Анализ бюджета'!$A$1:$N$256</formula>
  </rdn>
  <rdn rId="0" localSheetId="1" customView="1" name="Z_0B13C6EA_3679_47F2_82B5_7AF3B83AB801_.wvu.PrintTitles" hidden="1" oldHidden="1">
    <formula>'Анализ бюджета'!$4:$5</formula>
  </rdn>
  <rdn rId="0" localSheetId="1" customView="1" name="Z_0B13C6EA_3679_47F2_82B5_7AF3B83AB801_.wvu.Rows" hidden="1" oldHidden="1">
    <formula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formula>
  </rdn>
  <rdn rId="0" localSheetId="1" customView="1" name="Z_0B13C6EA_3679_47F2_82B5_7AF3B83AB801_.wvu.Cols" hidden="1" oldHidden="1">
    <formula>'Анализ бюджета'!$E:$E,'Анализ бюджета'!$J:$J</formula>
  </rdn>
  <rcv guid="{0B13C6EA-3679-47F2-82B5-7AF3B83AB801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BC1421C_A5A0_43A0_A7F1_55772C8F0328_.wvu.PrintArea" hidden="1" oldHidden="1">
    <formula>'Анализ бюджета'!$A$1:$N$256</formula>
  </rdn>
  <rdn rId="0" localSheetId="1" customView="1" name="Z_CBC1421C_A5A0_43A0_A7F1_55772C8F0328_.wvu.PrintTitles" hidden="1" oldHidden="1">
    <formula>'Анализ бюджета'!$4:$5</formula>
  </rdn>
  <rdn rId="0" localSheetId="1" customView="1" name="Z_CBC1421C_A5A0_43A0_A7F1_55772C8F0328_.wvu.Rows" hidden="1" oldHidden="1">
    <formula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formula>
  </rdn>
  <rdn rId="0" localSheetId="1" customView="1" name="Z_CBC1421C_A5A0_43A0_A7F1_55772C8F0328_.wvu.Cols" hidden="1" oldHidden="1">
    <formula>'Анализ бюджета'!$E:$E,'Анализ бюджета'!$J:$J</formula>
  </rdn>
  <rcv guid="{CBC1421C-A5A0-43A0-A7F1-55772C8F032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 odxf="1" dxf="1" numFmtId="14">
    <oc r="K224">
      <v>0</v>
    </oc>
    <nc r="K224">
      <f>H224/F224</f>
    </nc>
    <odxf>
      <font>
        <sz val="9"/>
        <color rgb="FFFF0000"/>
        <name val="Arial Narrow"/>
        <scheme val="none"/>
      </font>
    </odxf>
    <ndxf>
      <font>
        <sz val="9"/>
        <color rgb="FFFF0000"/>
        <name val="Arial Narrow"/>
        <scheme val="none"/>
      </font>
    </ndxf>
  </rcc>
  <rcc rId="6" sId="1" odxf="1" dxf="1" numFmtId="14">
    <oc r="K212">
      <v>0</v>
    </oc>
    <nc r="K212">
      <f>H212/F212</f>
    </nc>
    <odxf>
      <font>
        <sz val="9"/>
        <color rgb="FFFF0000"/>
        <name val="Arial Narrow"/>
        <scheme val="none"/>
      </font>
    </odxf>
    <ndxf>
      <font>
        <sz val="9"/>
        <color rgb="FFFF0000"/>
        <name val="Arial Narrow"/>
        <scheme val="none"/>
      </font>
    </ndxf>
  </rcc>
  <rcc rId="7" sId="1" odxf="1" dxf="1" numFmtId="14">
    <oc r="K185">
      <v>0</v>
    </oc>
    <nc r="K185">
      <f>H185/F185</f>
    </nc>
    <odxf>
      <font>
        <sz val="9"/>
        <color rgb="FFFF0000"/>
        <name val="Arial Narrow"/>
        <scheme val="none"/>
      </font>
    </odxf>
    <ndxf>
      <font>
        <sz val="9"/>
        <color rgb="FFFF0000"/>
        <name val="Arial Narrow"/>
        <scheme val="none"/>
      </font>
    </ndxf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 numFmtId="14">
    <oc r="M230">
      <v>0</v>
    </oc>
    <nc r="M230">
      <f>H230/D230</f>
    </nc>
  </rcc>
  <rcc rId="9" sId="1">
    <oc r="M231">
      <f>H231/D231</f>
    </oc>
    <nc r="M231">
      <f>H231/D231</f>
    </nc>
  </rcc>
  <rcc rId="10" sId="1">
    <oc r="M187">
      <f>H187/D187</f>
    </oc>
    <nc r="M187">
      <f>H187/D187</f>
    </nc>
  </rcc>
  <rcc rId="11" sId="1">
    <nc r="M188">
      <f>H188/D188</f>
    </nc>
  </rcc>
  <rcc rId="12" sId="1">
    <oc r="M189">
      <f>H189/D189</f>
    </oc>
    <nc r="M189">
      <f>H189/D189</f>
    </nc>
  </rcc>
  <rcc rId="13" sId="1" numFmtId="14">
    <oc r="M190">
      <v>0</v>
    </oc>
    <nc r="M190">
      <f>H190/D190</f>
    </nc>
  </rcc>
  <rcc rId="14" sId="1">
    <oc r="M191">
      <f>H191/D191</f>
    </oc>
    <nc r="M191">
      <f>H191/D191</f>
    </nc>
  </rcc>
  <rcv guid="{CBC1421C-A5A0-43A0-A7F1-55772C8F0328}" action="delete"/>
  <rdn rId="0" localSheetId="1" customView="1" name="Z_CBC1421C_A5A0_43A0_A7F1_55772C8F0328_.wvu.PrintArea" hidden="1" oldHidden="1">
    <formula>'Анализ бюджета'!$A$1:$N$256</formula>
    <oldFormula>'Анализ бюджета'!$A$1:$N$256</oldFormula>
  </rdn>
  <rdn rId="0" localSheetId="1" customView="1" name="Z_CBC1421C_A5A0_43A0_A7F1_55772C8F0328_.wvu.PrintTitles" hidden="1" oldHidden="1">
    <formula>'Анализ бюджета'!$4:$5</formula>
    <oldFormula>'Анализ бюджета'!$4:$5</oldFormula>
  </rdn>
  <rdn rId="0" localSheetId="1" customView="1" name="Z_CBC1421C_A5A0_43A0_A7F1_55772C8F0328_.wvu.Rows" hidden="1" oldHidden="1">
    <formula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formula>
    <oldFormula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oldFormula>
  </rdn>
  <rdn rId="0" localSheetId="1" customView="1" name="Z_CBC1421C_A5A0_43A0_A7F1_55772C8F0328_.wvu.Cols" hidden="1" oldHidden="1">
    <formula>'Анализ бюджета'!$E:$E,'Анализ бюджета'!$J:$J</formula>
    <oldFormula>'Анализ бюджета'!$E:$E,'Анализ бюджета'!$J:$J</oldFormula>
  </rdn>
  <rcv guid="{CBC1421C-A5A0-43A0-A7F1-55772C8F032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1" numFmtId="14">
    <oc r="K31">
      <v>0</v>
    </oc>
    <nc r="K31">
      <f>H31/F31</f>
    </nc>
  </rcc>
  <rcc rId="20" sId="1" odxf="1" dxf="1" numFmtId="14">
    <oc r="K37">
      <v>0</v>
    </oc>
    <nc r="K37">
      <f>H37/F37</f>
    </nc>
    <odxf>
      <font>
        <b/>
        <sz val="9"/>
        <name val="Arial Narrow"/>
        <scheme val="none"/>
      </font>
    </odxf>
    <ndxf>
      <font>
        <b val="0"/>
        <sz val="9"/>
        <name val="Arial Narrow"/>
        <scheme val="none"/>
      </font>
    </ndxf>
  </rcc>
  <rfmt sheetId="1" sqref="K37" start="0" length="2147483647">
    <dxf>
      <font>
        <b/>
      </font>
    </dxf>
  </rfmt>
  <rcc rId="21" sId="1" numFmtId="14">
    <oc r="K74">
      <v>0</v>
    </oc>
    <nc r="K74">
      <f>H74/F74</f>
    </nc>
  </rcc>
  <rcc rId="22" sId="1" numFmtId="14">
    <oc r="K75">
      <v>0</v>
    </oc>
    <nc r="K75">
      <f>H75/F75</f>
    </nc>
  </rcc>
  <rcc rId="23" sId="1" numFmtId="14">
    <oc r="K76">
      <v>0</v>
    </oc>
    <nc r="K76">
      <f>H76/F76</f>
    </nc>
  </rcc>
  <rcc rId="24" sId="1" odxf="1" dxf="1" numFmtId="14">
    <oc r="K77">
      <v>0</v>
    </oc>
    <nc r="K77">
      <f>H77/F77</f>
    </nc>
    <odxf>
      <font>
        <b val="0"/>
        <sz val="9"/>
        <name val="Arial Narrow"/>
        <scheme val="none"/>
      </font>
    </odxf>
    <ndxf>
      <font>
        <b/>
        <sz val="9"/>
        <name val="Arial Narrow"/>
        <scheme val="none"/>
      </font>
    </ndxf>
  </rcc>
  <rcc rId="25" sId="1" odxf="1" dxf="1" numFmtId="14">
    <oc r="K78">
      <v>0</v>
    </oc>
    <nc r="K78">
      <f>H78/F78</f>
    </nc>
    <odxf>
      <font>
        <b val="0"/>
        <sz val="9"/>
        <name val="Arial Narrow"/>
        <scheme val="none"/>
      </font>
    </odxf>
    <ndxf>
      <font>
        <b/>
        <sz val="9"/>
        <name val="Arial Narrow"/>
        <scheme val="none"/>
      </font>
    </ndxf>
  </rcc>
  <rfmt sheetId="1" sqref="K77:K79" start="0" length="2147483647">
    <dxf>
      <font>
        <b val="0"/>
      </font>
    </dxf>
  </rfmt>
  <rcc rId="26" sId="1" numFmtId="14">
    <oc r="K105">
      <v>-1</v>
    </oc>
    <nc r="K105">
      <v>0</v>
    </nc>
  </rcc>
  <rcc rId="27" sId="1" odxf="1" dxf="1" numFmtId="14">
    <oc r="K139">
      <v>0</v>
    </oc>
    <nc r="K139">
      <f>H139/F139</f>
    </nc>
    <odxf>
      <font>
        <sz val="9"/>
        <color rgb="FFFF0000"/>
        <name val="Arial Narrow"/>
        <scheme val="none"/>
      </font>
    </odxf>
    <ndxf>
      <font>
        <sz val="9"/>
        <color rgb="FFFF0000"/>
        <name val="Arial Narrow"/>
        <scheme val="none"/>
      </font>
    </ndxf>
  </rcc>
  <rcc rId="28" sId="1">
    <oc r="K140">
      <f>H140/F140</f>
    </oc>
    <nc r="K140">
      <f>H140/F140</f>
    </nc>
  </rcc>
  <rcc rId="29" sId="1" numFmtId="14">
    <oc r="K141">
      <v>0</v>
    </oc>
    <nc r="K141">
      <f>H141/F141</f>
    </nc>
  </rcc>
  <rcc rId="30" sId="1">
    <oc r="K142">
      <f>H142/F142</f>
    </oc>
    <nc r="K142">
      <f>H142/F142</f>
    </nc>
  </rcc>
  <rcv guid="{22CDF957-2E06-4FE0-AA9C-8AF24FC17F35}" action="delete"/>
  <rdn rId="0" localSheetId="1" customView="1" name="Z_22CDF957_2E06_4FE0_AA9C_8AF24FC17F35_.wvu.PrintArea" hidden="1" oldHidden="1">
    <formula>'Анализ бюджета'!$A$1:$N$256</formula>
    <oldFormula>'Анализ бюджета'!$A$1:$N$256</oldFormula>
  </rdn>
  <rdn rId="0" localSheetId="1" customView="1" name="Z_22CDF957_2E06_4FE0_AA9C_8AF24FC17F35_.wvu.PrintTitles" hidden="1" oldHidden="1">
    <formula>'Анализ бюджета'!$4:$5</formula>
    <oldFormula>'Анализ бюджета'!$4:$5</oldFormula>
  </rdn>
  <rdn rId="0" localSheetId="1" customView="1" name="Z_22CDF957_2E06_4FE0_AA9C_8AF24FC17F35_.wvu.Rows" hidden="1" oldHidden="1">
    <formula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formula>
    <oldFormula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oldFormula>
  </rdn>
  <rdn rId="0" localSheetId="1" customView="1" name="Z_22CDF957_2E06_4FE0_AA9C_8AF24FC17F35_.wvu.Cols" hidden="1" oldHidden="1">
    <formula>'Анализ бюджета'!$E:$E,'Анализ бюджета'!$J:$J</formula>
    <oldFormula>'Анализ бюджета'!$E:$E,'Анализ бюджета'!$J:$J</oldFormula>
  </rdn>
  <rcv guid="{22CDF957-2E06-4FE0-AA9C-8AF24FC17F35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" sId="1" numFmtId="14">
    <oc r="M153">
      <v>0</v>
    </oc>
    <nc r="M153">
      <f>H153/D153</f>
    </nc>
  </rcc>
  <rcv guid="{CBC1421C-A5A0-43A0-A7F1-55772C8F0328}" action="delete"/>
  <rdn rId="0" localSheetId="1" customView="1" name="Z_CBC1421C_A5A0_43A0_A7F1_55772C8F0328_.wvu.PrintArea" hidden="1" oldHidden="1">
    <formula>'Анализ бюджета'!$A$1:$N$256</formula>
    <oldFormula>'Анализ бюджета'!$A$1:$N$256</oldFormula>
  </rdn>
  <rdn rId="0" localSheetId="1" customView="1" name="Z_CBC1421C_A5A0_43A0_A7F1_55772C8F0328_.wvu.PrintTitles" hidden="1" oldHidden="1">
    <formula>'Анализ бюджета'!$4:$5</formula>
    <oldFormula>'Анализ бюджета'!$4:$5</oldFormula>
  </rdn>
  <rdn rId="0" localSheetId="1" customView="1" name="Z_CBC1421C_A5A0_43A0_A7F1_55772C8F0328_.wvu.Rows" hidden="1" oldHidden="1">
    <formula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formula>
    <oldFormula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oldFormula>
  </rdn>
  <rdn rId="0" localSheetId="1" customView="1" name="Z_CBC1421C_A5A0_43A0_A7F1_55772C8F0328_.wvu.Cols" hidden="1" oldHidden="1">
    <formula>'Анализ бюджета'!$E:$E,'Анализ бюджета'!$J:$J</formula>
    <oldFormula>'Анализ бюджета'!$E:$E,'Анализ бюджета'!$J:$J</oldFormula>
  </rdn>
  <rcv guid="{CBC1421C-A5A0-43A0-A7F1-55772C8F032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212" start="0" length="2147483647">
    <dxf>
      <font>
        <color auto="1"/>
      </font>
    </dxf>
  </rfmt>
  <rfmt sheetId="1" sqref="K185" start="0" length="2147483647">
    <dxf>
      <font>
        <color auto="1"/>
      </font>
    </dxf>
  </rfmt>
  <rfmt sheetId="1" sqref="K224" start="0" length="2147483647">
    <dxf>
      <font>
        <color auto="1"/>
      </font>
    </dxf>
  </rfmt>
  <rcv guid="{22CDF957-2E06-4FE0-AA9C-8AF24FC17F35}" action="delete"/>
  <rdn rId="0" localSheetId="1" customView="1" name="Z_22CDF957_2E06_4FE0_AA9C_8AF24FC17F35_.wvu.PrintArea" hidden="1" oldHidden="1">
    <formula>'Анализ бюджета'!$A$1:$N$256</formula>
    <oldFormula>'Анализ бюджета'!$A$1:$N$256</oldFormula>
  </rdn>
  <rdn rId="0" localSheetId="1" customView="1" name="Z_22CDF957_2E06_4FE0_AA9C_8AF24FC17F35_.wvu.PrintTitles" hidden="1" oldHidden="1">
    <formula>'Анализ бюджета'!$4:$5</formula>
    <oldFormula>'Анализ бюджета'!$4:$5</oldFormula>
  </rdn>
  <rdn rId="0" localSheetId="1" customView="1" name="Z_22CDF957_2E06_4FE0_AA9C_8AF24FC17F35_.wvu.Rows" hidden="1" oldHidden="1">
    <formula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formula>
    <oldFormula>'Анализ бюджета'!$27:$27,'Анализ бюджета'!$44:$46,'Анализ бюджета'!$52:$52,'Анализ бюджета'!$59:$61,'Анализ бюджета'!$63:$63,'Анализ бюджета'!$67:$67,'Анализ бюджета'!$72:$72,'Анализ бюджета'!$78:$78,'Анализ бюджета'!$93:$96,'Анализ бюджета'!$100:$100,'Анализ бюджета'!$102:$103,'Анализ бюджета'!$110:$110,'Анализ бюджета'!$114:$117,'Анализ бюджета'!$126:$127,'Анализ бюджета'!$131:$131,'Анализ бюджета'!$140:$142,'Анализ бюджета'!$147:$147,'Анализ бюджета'!$158:$158,'Анализ бюджета'!$163:$164,'Анализ бюджета'!$167:$168,'Анализ бюджета'!$171:$171,'Анализ бюджета'!$174:$174,'Анализ бюджета'!$187:$189,'Анализ бюджета'!$197:$197,'Анализ бюджета'!$205:$207,'Анализ бюджета'!$219:$219,'Анализ бюджета'!$226:$228,'Анализ бюджета'!$232:$234,'Анализ бюджета'!$244:$256</oldFormula>
  </rdn>
  <rdn rId="0" localSheetId="1" customView="1" name="Z_22CDF957_2E06_4FE0_AA9C_8AF24FC17F35_.wvu.Cols" hidden="1" oldHidden="1">
    <formula>'Анализ бюджета'!$E:$E,'Анализ бюджета'!$J:$J</formula>
    <oldFormula>'Анализ бюджета'!$E:$E,'Анализ бюджета'!$J:$J</oldFormula>
  </rdn>
  <rcv guid="{22CDF957-2E06-4FE0-AA9C-8AF24FC17F35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 numFmtId="14">
    <oc r="M31">
      <v>0</v>
    </oc>
    <nc r="M31">
      <f>H31/D31</f>
    </nc>
  </rcc>
  <rcc rId="45" sId="1" numFmtId="14">
    <oc r="M37">
      <v>0</v>
    </oc>
    <nc r="M37">
      <f>H37/D37</f>
    </nc>
  </rcc>
  <rcc rId="46" sId="1" odxf="1" dxf="1" numFmtId="14">
    <oc r="M76">
      <v>0</v>
    </oc>
    <nc r="M76">
      <f>H76/D76</f>
    </nc>
    <odxf>
      <font>
        <b/>
        <sz val="9"/>
        <name val="Arial Narrow"/>
        <scheme val="none"/>
      </font>
    </odxf>
    <ndxf>
      <font>
        <b val="0"/>
        <sz val="9"/>
        <name val="Arial Narrow"/>
        <scheme val="none"/>
      </font>
    </ndxf>
  </rcc>
  <rcc rId="47" sId="1" odxf="1" dxf="1" numFmtId="14">
    <oc r="M77">
      <v>0</v>
    </oc>
    <nc r="M77">
      <f>H77/D77</f>
    </nc>
    <odxf>
      <font>
        <b/>
        <sz val="9"/>
        <name val="Arial Narrow"/>
        <scheme val="none"/>
      </font>
    </odxf>
    <ndxf>
      <font>
        <b val="0"/>
        <sz val="9"/>
        <name val="Arial Narrow"/>
        <scheme val="none"/>
      </font>
    </ndxf>
  </rcc>
  <rcc rId="48" sId="1" odxf="1" dxf="1" numFmtId="14">
    <oc r="M78">
      <v>0</v>
    </oc>
    <nc r="M78">
      <f>H78/D78</f>
    </nc>
    <odxf>
      <font>
        <b/>
        <sz val="9"/>
        <name val="Arial Narrow"/>
        <scheme val="none"/>
      </font>
    </odxf>
    <ndxf>
      <font>
        <b val="0"/>
        <sz val="9"/>
        <name val="Arial Narrow"/>
        <scheme val="none"/>
      </font>
    </ndxf>
  </rcc>
  <rcc rId="49" sId="1" odxf="1" dxf="1">
    <oc r="M79">
      <f>H79/D79</f>
    </oc>
    <nc r="M79">
      <f>H79/D79</f>
    </nc>
    <odxf>
      <font>
        <b/>
        <sz val="9"/>
        <name val="Arial Narrow"/>
        <scheme val="none"/>
      </font>
    </odxf>
    <ndxf>
      <font>
        <b val="0"/>
        <sz val="9"/>
        <name val="Arial Narrow"/>
        <scheme val="none"/>
      </font>
    </ndxf>
  </rcc>
  <rcc rId="50" sId="1">
    <oc r="M80">
      <f>H80/D80</f>
    </oc>
    <nc r="M80">
      <f>H80/D80</f>
    </nc>
  </rcc>
  <rcc rId="51" sId="1" odxf="1" dxf="1">
    <oc r="M82">
      <f>H82/D82</f>
    </oc>
    <nc r="M82">
      <f>H82/D82</f>
    </nc>
    <odxf>
      <font>
        <b/>
        <sz val="9"/>
        <name val="Arial Narrow"/>
        <scheme val="none"/>
      </font>
    </odxf>
    <ndxf>
      <font>
        <b val="0"/>
        <sz val="9"/>
        <name val="Arial Narrow"/>
        <scheme val="none"/>
      </font>
    </ndxf>
  </rcc>
  <rcc rId="52" sId="1">
    <oc r="M83">
      <f>H83/D83</f>
    </oc>
    <nc r="M83">
      <f>H83/D83</f>
    </nc>
  </rcc>
  <rfmt sheetId="1" sqref="M76" start="0" length="2147483647">
    <dxf>
      <font>
        <b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509"/>
  <sheetViews>
    <sheetView tabSelected="1" showRuler="0" zoomScaleSheetLayoutView="160" workbookViewId="0">
      <pane ySplit="5" topLeftCell="A6" activePane="bottomLeft" state="frozenSplit"/>
      <selection pane="bottomLeft" activeCell="K71" sqref="K71"/>
    </sheetView>
  </sheetViews>
  <sheetFormatPr defaultColWidth="9.140625" defaultRowHeight="13.5"/>
  <cols>
    <col min="1" max="1" width="21" style="25" customWidth="1"/>
    <col min="2" max="2" width="40.42578125" style="52" customWidth="1"/>
    <col min="3" max="3" width="12.140625" style="52" customWidth="1"/>
    <col min="4" max="4" width="11.85546875" style="53" customWidth="1"/>
    <col min="5" max="5" width="11.85546875" style="53" hidden="1" customWidth="1"/>
    <col min="6" max="6" width="11.85546875" style="53" customWidth="1"/>
    <col min="7" max="8" width="12.42578125" style="54" customWidth="1"/>
    <col min="9" max="9" width="9.28515625" style="134" customWidth="1"/>
    <col min="10" max="10" width="9.28515625" style="134" hidden="1" customWidth="1"/>
    <col min="11" max="11" width="9.28515625" style="134" customWidth="1"/>
    <col min="12" max="12" width="9.5703125" style="54" customWidth="1"/>
    <col min="13" max="13" width="9.85546875" style="54" customWidth="1"/>
    <col min="14" max="14" width="10.7109375" style="54" customWidth="1"/>
    <col min="15" max="16384" width="9.140625" style="2"/>
  </cols>
  <sheetData>
    <row r="1" spans="1:15">
      <c r="I1" s="266"/>
      <c r="J1" s="266"/>
      <c r="K1" s="266"/>
      <c r="L1" s="266"/>
      <c r="M1" s="266"/>
      <c r="N1" s="266"/>
    </row>
    <row r="2" spans="1:15" ht="16.5">
      <c r="A2" s="269" t="s">
        <v>315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55"/>
    </row>
    <row r="3" spans="1:15">
      <c r="A3" s="56"/>
      <c r="B3" s="57"/>
      <c r="C3" s="57"/>
      <c r="D3" s="256"/>
      <c r="E3" s="233"/>
      <c r="F3" s="256"/>
      <c r="G3" s="11"/>
      <c r="H3" s="11"/>
      <c r="I3" s="148"/>
      <c r="J3" s="148"/>
      <c r="K3" s="148"/>
      <c r="N3" s="25" t="s">
        <v>112</v>
      </c>
    </row>
    <row r="4" spans="1:15" s="10" customFormat="1" ht="63.75">
      <c r="A4" s="121" t="s">
        <v>18</v>
      </c>
      <c r="B4" s="122" t="s">
        <v>20</v>
      </c>
      <c r="C4" s="175" t="s">
        <v>277</v>
      </c>
      <c r="D4" s="175" t="s">
        <v>278</v>
      </c>
      <c r="E4" s="175" t="s">
        <v>227</v>
      </c>
      <c r="F4" s="175" t="s">
        <v>316</v>
      </c>
      <c r="G4" s="175" t="s">
        <v>317</v>
      </c>
      <c r="H4" s="175" t="s">
        <v>318</v>
      </c>
      <c r="I4" s="147" t="s">
        <v>314</v>
      </c>
      <c r="J4" s="147" t="s">
        <v>279</v>
      </c>
      <c r="K4" s="193" t="s">
        <v>319</v>
      </c>
      <c r="L4" s="193" t="s">
        <v>19</v>
      </c>
      <c r="M4" s="192" t="s">
        <v>11</v>
      </c>
      <c r="N4" s="228" t="s">
        <v>320</v>
      </c>
    </row>
    <row r="5" spans="1:15" s="32" customFormat="1" ht="11.25">
      <c r="A5" s="187">
        <v>1</v>
      </c>
      <c r="B5" s="191" t="s">
        <v>66</v>
      </c>
      <c r="C5" s="187">
        <v>3</v>
      </c>
      <c r="D5" s="191" t="s">
        <v>280</v>
      </c>
      <c r="E5" s="187">
        <v>3</v>
      </c>
      <c r="F5" s="191" t="s">
        <v>281</v>
      </c>
      <c r="G5" s="187">
        <v>6</v>
      </c>
      <c r="H5" s="191" t="s">
        <v>283</v>
      </c>
      <c r="I5" s="187">
        <v>8</v>
      </c>
      <c r="J5" s="191" t="s">
        <v>282</v>
      </c>
      <c r="K5" s="187">
        <v>9</v>
      </c>
      <c r="L5" s="191" t="s">
        <v>284</v>
      </c>
      <c r="M5" s="187">
        <v>11</v>
      </c>
      <c r="N5" s="191" t="s">
        <v>285</v>
      </c>
    </row>
    <row r="6" spans="1:15" s="12" customFormat="1" ht="16.5">
      <c r="A6" s="35" t="s">
        <v>28</v>
      </c>
      <c r="B6" s="106" t="s">
        <v>142</v>
      </c>
      <c r="C6" s="101">
        <f>C7+C22</f>
        <v>662399.69999999995</v>
      </c>
      <c r="D6" s="101">
        <f t="shared" ref="D6:H6" si="0">D7+D22</f>
        <v>771009.5</v>
      </c>
      <c r="E6" s="101">
        <f t="shared" si="0"/>
        <v>501734</v>
      </c>
      <c r="F6" s="101">
        <f>F7+F22</f>
        <v>424759.2</v>
      </c>
      <c r="G6" s="101">
        <f t="shared" ref="G6" si="1">G7+G22</f>
        <v>388996</v>
      </c>
      <c r="H6" s="101">
        <f t="shared" si="0"/>
        <v>422222.9</v>
      </c>
      <c r="I6" s="169">
        <f t="shared" ref="I6:I52" si="2">H6/Всего_доходов_2003</f>
        <v>0.49199999999999999</v>
      </c>
      <c r="J6" s="158">
        <f t="shared" ref="J6:J33" si="3">H6/E6</f>
        <v>0.84199999999999997</v>
      </c>
      <c r="K6" s="158">
        <f>H6/F6</f>
        <v>0.99399999999999999</v>
      </c>
      <c r="L6" s="159">
        <f t="shared" ref="L6:L57" si="4">H6-D6</f>
        <v>-348786.6</v>
      </c>
      <c r="M6" s="158">
        <f t="shared" ref="M6:M87" si="5">H6/D6</f>
        <v>0.54800000000000004</v>
      </c>
      <c r="N6" s="194">
        <f>H6-G6</f>
        <v>33226.9</v>
      </c>
      <c r="O6" s="18"/>
    </row>
    <row r="7" spans="1:15" s="12" customFormat="1">
      <c r="A7" s="35"/>
      <c r="B7" s="36" t="s">
        <v>12</v>
      </c>
      <c r="C7" s="101">
        <f>C9+C11+C13+C16</f>
        <v>572739.1</v>
      </c>
      <c r="D7" s="101">
        <f t="shared" ref="D7:H7" si="6">D9+D11+D13+D16</f>
        <v>578313.4</v>
      </c>
      <c r="E7" s="101">
        <f t="shared" si="6"/>
        <v>343034.4</v>
      </c>
      <c r="F7" s="101">
        <f>F9+F11+F13+F16</f>
        <v>350937.9</v>
      </c>
      <c r="G7" s="101">
        <f t="shared" ref="G7" si="7">G9+G11+G13+G16</f>
        <v>334752.8</v>
      </c>
      <c r="H7" s="101">
        <f t="shared" si="6"/>
        <v>347969.9</v>
      </c>
      <c r="I7" s="169">
        <f t="shared" si="2"/>
        <v>0.40600000000000003</v>
      </c>
      <c r="J7" s="158">
        <f t="shared" si="3"/>
        <v>1.014</v>
      </c>
      <c r="K7" s="158">
        <f t="shared" ref="K7:K90" si="8">H7/F7</f>
        <v>0.99199999999999999</v>
      </c>
      <c r="L7" s="159">
        <f t="shared" si="4"/>
        <v>-230343.5</v>
      </c>
      <c r="M7" s="158">
        <f t="shared" si="5"/>
        <v>0.60199999999999998</v>
      </c>
      <c r="N7" s="194">
        <f t="shared" ref="N7:N84" si="9">H7-G7</f>
        <v>13217.1</v>
      </c>
      <c r="O7" s="18"/>
    </row>
    <row r="8" spans="1:15" s="12" customFormat="1">
      <c r="A8" s="35" t="s">
        <v>29</v>
      </c>
      <c r="B8" s="36" t="s">
        <v>30</v>
      </c>
      <c r="C8" s="101">
        <f>SUM(C9)</f>
        <v>305691</v>
      </c>
      <c r="D8" s="101">
        <f t="shared" ref="D8:H8" si="10">SUM(D9)</f>
        <v>305691</v>
      </c>
      <c r="E8" s="101">
        <f t="shared" si="10"/>
        <v>201497</v>
      </c>
      <c r="F8" s="101">
        <f t="shared" si="10"/>
        <v>247205.1</v>
      </c>
      <c r="G8" s="101">
        <f t="shared" si="10"/>
        <v>216500.8</v>
      </c>
      <c r="H8" s="101">
        <f t="shared" si="10"/>
        <v>245474.1</v>
      </c>
      <c r="I8" s="169">
        <f t="shared" si="2"/>
        <v>0.28599999999999998</v>
      </c>
      <c r="J8" s="158">
        <f t="shared" si="3"/>
        <v>1.218</v>
      </c>
      <c r="K8" s="158">
        <f t="shared" si="8"/>
        <v>0.99299999999999999</v>
      </c>
      <c r="L8" s="159">
        <f t="shared" si="4"/>
        <v>-60216.9</v>
      </c>
      <c r="M8" s="158">
        <f t="shared" si="5"/>
        <v>0.80300000000000005</v>
      </c>
      <c r="N8" s="194">
        <f t="shared" si="9"/>
        <v>28973.3</v>
      </c>
      <c r="O8" s="18"/>
    </row>
    <row r="9" spans="1:15" s="12" customFormat="1">
      <c r="A9" s="35" t="s">
        <v>31</v>
      </c>
      <c r="B9" s="83" t="s">
        <v>13</v>
      </c>
      <c r="C9" s="101">
        <f>C10</f>
        <v>305691</v>
      </c>
      <c r="D9" s="101">
        <f t="shared" ref="D9:H9" si="11">D10</f>
        <v>305691</v>
      </c>
      <c r="E9" s="101">
        <f t="shared" si="11"/>
        <v>201497</v>
      </c>
      <c r="F9" s="101">
        <f t="shared" si="11"/>
        <v>247205.1</v>
      </c>
      <c r="G9" s="101">
        <f t="shared" si="11"/>
        <v>216500.8</v>
      </c>
      <c r="H9" s="101">
        <f t="shared" si="11"/>
        <v>245474.1</v>
      </c>
      <c r="I9" s="169">
        <f>H9/Всего_доходов_2003</f>
        <v>0.28599999999999998</v>
      </c>
      <c r="J9" s="158">
        <f t="shared" si="3"/>
        <v>1.218</v>
      </c>
      <c r="K9" s="158">
        <f t="shared" si="8"/>
        <v>0.99299999999999999</v>
      </c>
      <c r="L9" s="159">
        <f t="shared" si="4"/>
        <v>-60216.9</v>
      </c>
      <c r="M9" s="158">
        <f t="shared" si="5"/>
        <v>0.80300000000000005</v>
      </c>
      <c r="N9" s="194">
        <f t="shared" si="9"/>
        <v>28973.3</v>
      </c>
      <c r="O9" s="18"/>
    </row>
    <row r="10" spans="1:15" s="12" customFormat="1" ht="72.75" customHeight="1">
      <c r="A10" s="37" t="s">
        <v>113</v>
      </c>
      <c r="B10" s="39" t="s">
        <v>124</v>
      </c>
      <c r="C10" s="118">
        <v>305691</v>
      </c>
      <c r="D10" s="93">
        <v>305691</v>
      </c>
      <c r="E10" s="93">
        <v>201497</v>
      </c>
      <c r="F10" s="93">
        <v>247205.1</v>
      </c>
      <c r="G10" s="118">
        <v>216500.8</v>
      </c>
      <c r="H10" s="118">
        <v>245474.1</v>
      </c>
      <c r="I10" s="163">
        <f t="shared" si="2"/>
        <v>0.28599999999999998</v>
      </c>
      <c r="J10" s="158">
        <f t="shared" si="3"/>
        <v>1.218</v>
      </c>
      <c r="K10" s="199">
        <f t="shared" si="8"/>
        <v>0.99299999999999999</v>
      </c>
      <c r="L10" s="195">
        <f t="shared" si="4"/>
        <v>-60216.9</v>
      </c>
      <c r="M10" s="158">
        <f t="shared" si="5"/>
        <v>0.80300000000000005</v>
      </c>
      <c r="N10" s="194">
        <f t="shared" si="9"/>
        <v>28973.3</v>
      </c>
      <c r="O10" s="18"/>
    </row>
    <row r="11" spans="1:15" s="12" customFormat="1" ht="27">
      <c r="A11" s="35" t="s">
        <v>139</v>
      </c>
      <c r="B11" s="42" t="s">
        <v>144</v>
      </c>
      <c r="C11" s="101">
        <f>C12</f>
        <v>23709.3</v>
      </c>
      <c r="D11" s="101">
        <f t="shared" ref="D11:H11" si="12">D12</f>
        <v>23709.3</v>
      </c>
      <c r="E11" s="101">
        <f t="shared" si="12"/>
        <v>16694.7</v>
      </c>
      <c r="F11" s="101">
        <f t="shared" si="12"/>
        <v>17634.599999999999</v>
      </c>
      <c r="G11" s="101">
        <f t="shared" si="12"/>
        <v>15434.2</v>
      </c>
      <c r="H11" s="101">
        <f t="shared" si="12"/>
        <v>17497.2</v>
      </c>
      <c r="I11" s="170">
        <f t="shared" si="2"/>
        <v>0.02</v>
      </c>
      <c r="J11" s="158">
        <f t="shared" si="3"/>
        <v>1.048</v>
      </c>
      <c r="K11" s="158">
        <f t="shared" si="8"/>
        <v>0.99199999999999999</v>
      </c>
      <c r="L11" s="195">
        <f t="shared" si="4"/>
        <v>-6212.1</v>
      </c>
      <c r="M11" s="158">
        <f t="shared" si="5"/>
        <v>0.73799999999999999</v>
      </c>
      <c r="N11" s="194">
        <f t="shared" si="9"/>
        <v>2063</v>
      </c>
      <c r="O11" s="18"/>
    </row>
    <row r="12" spans="1:15" s="12" customFormat="1" ht="27">
      <c r="A12" s="37" t="s">
        <v>161</v>
      </c>
      <c r="B12" s="116" t="s">
        <v>145</v>
      </c>
      <c r="C12" s="118">
        <v>23709.3</v>
      </c>
      <c r="D12" s="93">
        <v>23709.3</v>
      </c>
      <c r="E12" s="93">
        <v>16694.7</v>
      </c>
      <c r="F12" s="93">
        <v>17634.599999999999</v>
      </c>
      <c r="G12" s="93">
        <v>15434.2</v>
      </c>
      <c r="H12" s="93">
        <v>17497.2</v>
      </c>
      <c r="I12" s="163">
        <f t="shared" si="2"/>
        <v>0.02</v>
      </c>
      <c r="J12" s="158">
        <f t="shared" si="3"/>
        <v>1.048</v>
      </c>
      <c r="K12" s="199">
        <f t="shared" si="8"/>
        <v>0.99199999999999999</v>
      </c>
      <c r="L12" s="195">
        <f t="shared" si="4"/>
        <v>-6212.1</v>
      </c>
      <c r="M12" s="158">
        <f t="shared" si="5"/>
        <v>0.73799999999999999</v>
      </c>
      <c r="N12" s="194">
        <f t="shared" si="9"/>
        <v>2063</v>
      </c>
      <c r="O12" s="18"/>
    </row>
    <row r="13" spans="1:15" s="17" customFormat="1">
      <c r="A13" s="35" t="s">
        <v>86</v>
      </c>
      <c r="B13" s="42" t="s">
        <v>14</v>
      </c>
      <c r="C13" s="101">
        <f>SUM(C14)</f>
        <v>4909.8</v>
      </c>
      <c r="D13" s="101">
        <f t="shared" ref="D13:H13" si="13">SUM(D14)</f>
        <v>10484.1</v>
      </c>
      <c r="E13" s="101">
        <f t="shared" si="13"/>
        <v>5052</v>
      </c>
      <c r="F13" s="101">
        <f t="shared" si="13"/>
        <v>10484.1</v>
      </c>
      <c r="G13" s="101">
        <f t="shared" si="13"/>
        <v>5649.3</v>
      </c>
      <c r="H13" s="101">
        <f t="shared" si="13"/>
        <v>10483.799999999999</v>
      </c>
      <c r="I13" s="169">
        <f t="shared" si="2"/>
        <v>1.2E-2</v>
      </c>
      <c r="J13" s="158">
        <f t="shared" si="3"/>
        <v>2.0750000000000002</v>
      </c>
      <c r="K13" s="158">
        <f t="shared" si="8"/>
        <v>1</v>
      </c>
      <c r="L13" s="159">
        <f t="shared" si="4"/>
        <v>-0.3</v>
      </c>
      <c r="M13" s="158">
        <f t="shared" si="5"/>
        <v>1</v>
      </c>
      <c r="N13" s="194">
        <f t="shared" si="9"/>
        <v>4834.5</v>
      </c>
      <c r="O13" s="19"/>
    </row>
    <row r="14" spans="1:15" s="17" customFormat="1">
      <c r="A14" s="35" t="s">
        <v>32</v>
      </c>
      <c r="B14" s="36" t="s">
        <v>0</v>
      </c>
      <c r="C14" s="101">
        <f>C15</f>
        <v>4909.8</v>
      </c>
      <c r="D14" s="101">
        <f t="shared" ref="D14:H14" si="14">D15</f>
        <v>10484.1</v>
      </c>
      <c r="E14" s="101">
        <f t="shared" si="14"/>
        <v>5052</v>
      </c>
      <c r="F14" s="101">
        <f t="shared" si="14"/>
        <v>10484.1</v>
      </c>
      <c r="G14" s="101">
        <f t="shared" si="14"/>
        <v>5649.3</v>
      </c>
      <c r="H14" s="101">
        <f t="shared" si="14"/>
        <v>10483.799999999999</v>
      </c>
      <c r="I14" s="169">
        <f t="shared" si="2"/>
        <v>1.2E-2</v>
      </c>
      <c r="J14" s="158">
        <f t="shared" si="3"/>
        <v>2.0750000000000002</v>
      </c>
      <c r="K14" s="158">
        <f t="shared" si="8"/>
        <v>1</v>
      </c>
      <c r="L14" s="159">
        <f t="shared" si="4"/>
        <v>-0.3</v>
      </c>
      <c r="M14" s="158">
        <f t="shared" si="5"/>
        <v>1</v>
      </c>
      <c r="N14" s="194">
        <f t="shared" si="9"/>
        <v>4834.5</v>
      </c>
      <c r="O14" s="19"/>
    </row>
    <row r="15" spans="1:15" s="17" customFormat="1">
      <c r="A15" s="37" t="s">
        <v>74</v>
      </c>
      <c r="B15" s="39" t="s">
        <v>0</v>
      </c>
      <c r="C15" s="119">
        <v>4909.8</v>
      </c>
      <c r="D15" s="23">
        <v>10484.1</v>
      </c>
      <c r="E15" s="23">
        <v>5052</v>
      </c>
      <c r="F15" s="23">
        <v>10484.1</v>
      </c>
      <c r="G15" s="23">
        <v>5649.3</v>
      </c>
      <c r="H15" s="23">
        <v>10483.799999999999</v>
      </c>
      <c r="I15" s="163">
        <f t="shared" si="2"/>
        <v>1.2E-2</v>
      </c>
      <c r="J15" s="158">
        <f t="shared" si="3"/>
        <v>2.0750000000000002</v>
      </c>
      <c r="K15" s="199">
        <f t="shared" si="8"/>
        <v>1</v>
      </c>
      <c r="L15" s="195">
        <f t="shared" si="4"/>
        <v>-0.3</v>
      </c>
      <c r="M15" s="158">
        <f t="shared" si="5"/>
        <v>1</v>
      </c>
      <c r="N15" s="194">
        <f t="shared" si="9"/>
        <v>4834.5</v>
      </c>
      <c r="O15" s="19"/>
    </row>
    <row r="16" spans="1:15" s="17" customFormat="1">
      <c r="A16" s="35" t="s">
        <v>87</v>
      </c>
      <c r="B16" s="36" t="s">
        <v>15</v>
      </c>
      <c r="C16" s="101">
        <f>SUM(C17+C19)</f>
        <v>238429</v>
      </c>
      <c r="D16" s="101">
        <f t="shared" ref="D16:H16" si="15">SUM(D17+D19)</f>
        <v>238429</v>
      </c>
      <c r="E16" s="101">
        <f t="shared" si="15"/>
        <v>119790.7</v>
      </c>
      <c r="F16" s="101">
        <f>SUM(F17+F19)</f>
        <v>75614.100000000006</v>
      </c>
      <c r="G16" s="101">
        <f t="shared" ref="G16" si="16">SUM(G17+G19)</f>
        <v>97168.5</v>
      </c>
      <c r="H16" s="101">
        <f t="shared" si="15"/>
        <v>74514.8</v>
      </c>
      <c r="I16" s="169">
        <f t="shared" si="2"/>
        <v>8.6999999999999994E-2</v>
      </c>
      <c r="J16" s="158">
        <f t="shared" si="3"/>
        <v>0.622</v>
      </c>
      <c r="K16" s="158">
        <f t="shared" si="8"/>
        <v>0.98499999999999999</v>
      </c>
      <c r="L16" s="159">
        <f t="shared" si="4"/>
        <v>-163914.20000000001</v>
      </c>
      <c r="M16" s="158">
        <f t="shared" si="5"/>
        <v>0.313</v>
      </c>
      <c r="N16" s="194">
        <f t="shared" si="9"/>
        <v>-22653.7</v>
      </c>
      <c r="O16" s="19"/>
    </row>
    <row r="17" spans="1:15" s="21" customFormat="1">
      <c r="A17" s="35" t="s">
        <v>35</v>
      </c>
      <c r="B17" s="36" t="s">
        <v>34</v>
      </c>
      <c r="C17" s="101">
        <f>C18</f>
        <v>129209</v>
      </c>
      <c r="D17" s="101">
        <f t="shared" ref="D17:H17" si="17">D18</f>
        <v>129209</v>
      </c>
      <c r="E17" s="101">
        <f t="shared" si="17"/>
        <v>43400</v>
      </c>
      <c r="F17" s="101">
        <f t="shared" si="17"/>
        <v>8020.6</v>
      </c>
      <c r="G17" s="101">
        <f t="shared" si="17"/>
        <v>15542.9</v>
      </c>
      <c r="H17" s="101">
        <f t="shared" si="17"/>
        <v>7814.4</v>
      </c>
      <c r="I17" s="169">
        <f t="shared" si="2"/>
        <v>8.9999999999999993E-3</v>
      </c>
      <c r="J17" s="158">
        <f t="shared" si="3"/>
        <v>0.18</v>
      </c>
      <c r="K17" s="158">
        <f t="shared" si="8"/>
        <v>0.97399999999999998</v>
      </c>
      <c r="L17" s="159">
        <f t="shared" si="4"/>
        <v>-121394.6</v>
      </c>
      <c r="M17" s="158">
        <f t="shared" si="5"/>
        <v>0.06</v>
      </c>
      <c r="N17" s="194">
        <f t="shared" si="9"/>
        <v>-7728.5</v>
      </c>
      <c r="O17" s="20"/>
    </row>
    <row r="18" spans="1:15" s="17" customFormat="1" ht="40.5">
      <c r="A18" s="37" t="s">
        <v>162</v>
      </c>
      <c r="B18" s="39" t="s">
        <v>36</v>
      </c>
      <c r="C18" s="183">
        <v>129209</v>
      </c>
      <c r="D18" s="51">
        <v>129209</v>
      </c>
      <c r="E18" s="51">
        <v>43400</v>
      </c>
      <c r="F18" s="51">
        <v>8020.6</v>
      </c>
      <c r="G18" s="51">
        <v>15542.9</v>
      </c>
      <c r="H18" s="51">
        <v>7814.4</v>
      </c>
      <c r="I18" s="163">
        <f t="shared" si="2"/>
        <v>8.9999999999999993E-3</v>
      </c>
      <c r="J18" s="158">
        <f t="shared" si="3"/>
        <v>0.18</v>
      </c>
      <c r="K18" s="199">
        <f t="shared" si="8"/>
        <v>0.97399999999999998</v>
      </c>
      <c r="L18" s="195">
        <f t="shared" si="4"/>
        <v>-121394.6</v>
      </c>
      <c r="M18" s="158">
        <f t="shared" si="5"/>
        <v>0.06</v>
      </c>
      <c r="N18" s="194">
        <f t="shared" si="9"/>
        <v>-7728.5</v>
      </c>
      <c r="O18" s="19"/>
    </row>
    <row r="19" spans="1:15" s="21" customFormat="1">
      <c r="A19" s="35" t="s">
        <v>33</v>
      </c>
      <c r="B19" s="36" t="s">
        <v>16</v>
      </c>
      <c r="C19" s="101">
        <f>SUM(C20:C21)</f>
        <v>109220</v>
      </c>
      <c r="D19" s="101">
        <f t="shared" ref="D19:H19" si="18">SUM(D20:D21)</f>
        <v>109220</v>
      </c>
      <c r="E19" s="101">
        <f t="shared" si="18"/>
        <v>76390.7</v>
      </c>
      <c r="F19" s="101">
        <f t="shared" si="18"/>
        <v>67593.5</v>
      </c>
      <c r="G19" s="101">
        <f t="shared" ref="G19" si="19">SUM(G20:G21)</f>
        <v>81625.600000000006</v>
      </c>
      <c r="H19" s="101">
        <f t="shared" si="18"/>
        <v>66700.399999999994</v>
      </c>
      <c r="I19" s="169">
        <f t="shared" si="2"/>
        <v>7.8E-2</v>
      </c>
      <c r="J19" s="158">
        <f t="shared" si="3"/>
        <v>0.873</v>
      </c>
      <c r="K19" s="158">
        <f t="shared" si="8"/>
        <v>0.98699999999999999</v>
      </c>
      <c r="L19" s="159">
        <f t="shared" si="4"/>
        <v>-42519.6</v>
      </c>
      <c r="M19" s="158">
        <f t="shared" si="5"/>
        <v>0.61099999999999999</v>
      </c>
      <c r="N19" s="194">
        <f t="shared" si="9"/>
        <v>-14925.2</v>
      </c>
      <c r="O19" s="20"/>
    </row>
    <row r="20" spans="1:15" s="21" customFormat="1">
      <c r="A20" s="117" t="s">
        <v>163</v>
      </c>
      <c r="B20" s="39" t="s">
        <v>159</v>
      </c>
      <c r="C20" s="183">
        <v>73128.3</v>
      </c>
      <c r="D20" s="51">
        <v>73128.3</v>
      </c>
      <c r="E20" s="183">
        <v>54700</v>
      </c>
      <c r="F20" s="183">
        <v>56624.7</v>
      </c>
      <c r="G20" s="183">
        <v>65036.800000000003</v>
      </c>
      <c r="H20" s="183">
        <v>56369.7</v>
      </c>
      <c r="I20" s="163">
        <f t="shared" si="2"/>
        <v>6.6000000000000003E-2</v>
      </c>
      <c r="J20" s="158">
        <f t="shared" si="3"/>
        <v>1.0309999999999999</v>
      </c>
      <c r="K20" s="199">
        <f t="shared" si="8"/>
        <v>0.995</v>
      </c>
      <c r="L20" s="195">
        <f t="shared" si="4"/>
        <v>-16758.599999999999</v>
      </c>
      <c r="M20" s="158">
        <f t="shared" si="5"/>
        <v>0.77100000000000002</v>
      </c>
      <c r="N20" s="194">
        <f t="shared" si="9"/>
        <v>-8667.1</v>
      </c>
      <c r="O20" s="20"/>
    </row>
    <row r="21" spans="1:15" s="17" customFormat="1">
      <c r="A21" s="117" t="s">
        <v>164</v>
      </c>
      <c r="B21" s="39" t="s">
        <v>160</v>
      </c>
      <c r="C21" s="183">
        <v>36091.699999999997</v>
      </c>
      <c r="D21" s="51">
        <v>36091.699999999997</v>
      </c>
      <c r="E21" s="183">
        <v>21690.7</v>
      </c>
      <c r="F21" s="183">
        <v>10968.8</v>
      </c>
      <c r="G21" s="183">
        <v>16588.8</v>
      </c>
      <c r="H21" s="183">
        <v>10330.700000000001</v>
      </c>
      <c r="I21" s="163">
        <f t="shared" si="2"/>
        <v>1.2E-2</v>
      </c>
      <c r="J21" s="158">
        <f t="shared" si="3"/>
        <v>0.47599999999999998</v>
      </c>
      <c r="K21" s="199">
        <f t="shared" si="8"/>
        <v>0.94199999999999995</v>
      </c>
      <c r="L21" s="195">
        <f t="shared" si="4"/>
        <v>-25761</v>
      </c>
      <c r="M21" s="158">
        <f t="shared" si="5"/>
        <v>0.28599999999999998</v>
      </c>
      <c r="N21" s="194">
        <f t="shared" si="9"/>
        <v>-6258.1</v>
      </c>
      <c r="O21" s="19"/>
    </row>
    <row r="22" spans="1:15" s="21" customFormat="1">
      <c r="A22" s="35"/>
      <c r="B22" s="36" t="s">
        <v>17</v>
      </c>
      <c r="C22" s="101">
        <f t="shared" ref="C22:H22" si="20">C23+C30+C31+C32+C47+C37</f>
        <v>89660.6</v>
      </c>
      <c r="D22" s="101">
        <f t="shared" si="20"/>
        <v>192696.1</v>
      </c>
      <c r="E22" s="101">
        <f t="shared" si="20"/>
        <v>158699.6</v>
      </c>
      <c r="F22" s="101">
        <f t="shared" si="20"/>
        <v>73821.3</v>
      </c>
      <c r="G22" s="101">
        <f t="shared" si="20"/>
        <v>54243.199999999997</v>
      </c>
      <c r="H22" s="101">
        <f t="shared" si="20"/>
        <v>74253</v>
      </c>
      <c r="I22" s="169">
        <f t="shared" si="2"/>
        <v>8.6999999999999994E-2</v>
      </c>
      <c r="J22" s="158">
        <f t="shared" si="3"/>
        <v>0.46800000000000003</v>
      </c>
      <c r="K22" s="158">
        <f t="shared" si="8"/>
        <v>1.006</v>
      </c>
      <c r="L22" s="159">
        <f t="shared" si="4"/>
        <v>-118443.1</v>
      </c>
      <c r="M22" s="158">
        <f t="shared" si="5"/>
        <v>0.38500000000000001</v>
      </c>
      <c r="N22" s="194">
        <f t="shared" si="9"/>
        <v>20009.8</v>
      </c>
      <c r="O22" s="20"/>
    </row>
    <row r="23" spans="1:15" s="17" customFormat="1" ht="40.5">
      <c r="A23" s="35" t="s">
        <v>38</v>
      </c>
      <c r="B23" s="36" t="s">
        <v>1</v>
      </c>
      <c r="C23" s="112">
        <f>SUM(C24:C29)</f>
        <v>79834.899999999994</v>
      </c>
      <c r="D23" s="112">
        <f>SUM(D24:D29)</f>
        <v>84884.9</v>
      </c>
      <c r="E23" s="112">
        <f t="shared" ref="E23" si="21">SUM(E24:E28)</f>
        <v>149271</v>
      </c>
      <c r="F23" s="112">
        <f>SUM(F24:F29)</f>
        <v>60621.4</v>
      </c>
      <c r="G23" s="112">
        <f>SUM(G24:G29)</f>
        <v>45383.8</v>
      </c>
      <c r="H23" s="112">
        <f>SUM(H24:H29)</f>
        <v>60453.7</v>
      </c>
      <c r="I23" s="169">
        <f t="shared" si="2"/>
        <v>7.0000000000000007E-2</v>
      </c>
      <c r="J23" s="158">
        <f t="shared" si="3"/>
        <v>0.40500000000000003</v>
      </c>
      <c r="K23" s="158">
        <f t="shared" si="8"/>
        <v>0.997</v>
      </c>
      <c r="L23" s="159">
        <f t="shared" si="4"/>
        <v>-24431.200000000001</v>
      </c>
      <c r="M23" s="158">
        <f t="shared" si="5"/>
        <v>0.71199999999999997</v>
      </c>
      <c r="N23" s="194">
        <f t="shared" si="9"/>
        <v>15069.9</v>
      </c>
      <c r="O23" s="19"/>
    </row>
    <row r="24" spans="1:15" s="17" customFormat="1" ht="81">
      <c r="A24" s="37" t="s">
        <v>224</v>
      </c>
      <c r="B24" s="39" t="s">
        <v>40</v>
      </c>
      <c r="C24" s="183">
        <v>61014.8</v>
      </c>
      <c r="D24" s="23">
        <v>61014.8</v>
      </c>
      <c r="E24" s="23">
        <v>41822</v>
      </c>
      <c r="F24" s="23">
        <v>39820.5</v>
      </c>
      <c r="G24" s="51">
        <v>37228.300000000003</v>
      </c>
      <c r="H24" s="51">
        <v>39755.4</v>
      </c>
      <c r="I24" s="163">
        <f t="shared" si="2"/>
        <v>4.5999999999999999E-2</v>
      </c>
      <c r="J24" s="158">
        <f t="shared" si="3"/>
        <v>0.95099999999999996</v>
      </c>
      <c r="K24" s="199">
        <f t="shared" si="8"/>
        <v>0.998</v>
      </c>
      <c r="L24" s="195">
        <f t="shared" si="4"/>
        <v>-21259.4</v>
      </c>
      <c r="M24" s="158">
        <f t="shared" si="5"/>
        <v>0.65200000000000002</v>
      </c>
      <c r="N24" s="194">
        <f t="shared" si="9"/>
        <v>2527.1</v>
      </c>
      <c r="O24" s="19"/>
    </row>
    <row r="25" spans="1:15" s="17" customFormat="1" ht="94.5">
      <c r="A25" s="37" t="s">
        <v>225</v>
      </c>
      <c r="B25" s="39" t="s">
        <v>226</v>
      </c>
      <c r="C25" s="183">
        <v>7707.2</v>
      </c>
      <c r="D25" s="23">
        <v>11107.2</v>
      </c>
      <c r="E25" s="23">
        <v>100000</v>
      </c>
      <c r="F25" s="23">
        <v>11107.2</v>
      </c>
      <c r="G25" s="51">
        <v>0</v>
      </c>
      <c r="H25" s="51">
        <v>11068.3</v>
      </c>
      <c r="I25" s="163">
        <f t="shared" si="2"/>
        <v>1.2999999999999999E-2</v>
      </c>
      <c r="J25" s="158">
        <f t="shared" si="3"/>
        <v>0.111</v>
      </c>
      <c r="K25" s="199">
        <f t="shared" si="8"/>
        <v>0.996</v>
      </c>
      <c r="L25" s="195">
        <f t="shared" si="4"/>
        <v>-38.9</v>
      </c>
      <c r="M25" s="158">
        <f t="shared" si="5"/>
        <v>0.996</v>
      </c>
      <c r="N25" s="194">
        <f t="shared" si="9"/>
        <v>11068.3</v>
      </c>
      <c r="O25" s="19"/>
    </row>
    <row r="26" spans="1:15" s="17" customFormat="1" ht="27">
      <c r="A26" s="117" t="s">
        <v>147</v>
      </c>
      <c r="B26" s="39" t="s">
        <v>129</v>
      </c>
      <c r="C26" s="183">
        <v>2480</v>
      </c>
      <c r="D26" s="23">
        <v>2480</v>
      </c>
      <c r="E26" s="23">
        <v>1832</v>
      </c>
      <c r="F26" s="23">
        <v>1889</v>
      </c>
      <c r="G26" s="51">
        <v>1850.5</v>
      </c>
      <c r="H26" s="51">
        <v>1877.4</v>
      </c>
      <c r="I26" s="163">
        <f t="shared" si="2"/>
        <v>2E-3</v>
      </c>
      <c r="J26" s="158">
        <f t="shared" si="3"/>
        <v>1.0249999999999999</v>
      </c>
      <c r="K26" s="199">
        <f t="shared" si="8"/>
        <v>0.99399999999999999</v>
      </c>
      <c r="L26" s="195">
        <f t="shared" si="4"/>
        <v>-602.6</v>
      </c>
      <c r="M26" s="158">
        <f t="shared" si="5"/>
        <v>0.75700000000000001</v>
      </c>
      <c r="N26" s="194">
        <f t="shared" si="9"/>
        <v>26.9</v>
      </c>
      <c r="O26" s="19"/>
    </row>
    <row r="27" spans="1:15" s="17" customFormat="1" ht="54" hidden="1" customHeight="1">
      <c r="A27" s="117" t="s">
        <v>148</v>
      </c>
      <c r="B27" s="39" t="s">
        <v>122</v>
      </c>
      <c r="C27" s="183">
        <v>0</v>
      </c>
      <c r="D27" s="23">
        <v>0</v>
      </c>
      <c r="E27" s="23"/>
      <c r="F27" s="23"/>
      <c r="G27" s="51">
        <v>0</v>
      </c>
      <c r="H27" s="51">
        <v>0</v>
      </c>
      <c r="I27" s="135">
        <f t="shared" si="2"/>
        <v>0</v>
      </c>
      <c r="J27" s="158" t="e">
        <f t="shared" si="3"/>
        <v>#DIV/0!</v>
      </c>
      <c r="K27" s="158" t="e">
        <f t="shared" si="8"/>
        <v>#DIV/0!</v>
      </c>
      <c r="L27" s="195">
        <f t="shared" si="4"/>
        <v>0</v>
      </c>
      <c r="M27" s="158" t="e">
        <f t="shared" si="5"/>
        <v>#DIV/0!</v>
      </c>
      <c r="N27" s="194">
        <f t="shared" si="9"/>
        <v>0</v>
      </c>
      <c r="O27" s="19"/>
    </row>
    <row r="28" spans="1:15" s="21" customFormat="1" ht="81">
      <c r="A28" s="242" t="s">
        <v>344</v>
      </c>
      <c r="B28" s="245" t="s">
        <v>75</v>
      </c>
      <c r="C28" s="120">
        <v>8632.9</v>
      </c>
      <c r="D28" s="119">
        <v>8632.9</v>
      </c>
      <c r="E28" s="119">
        <v>5617</v>
      </c>
      <c r="F28" s="119">
        <v>6154.7</v>
      </c>
      <c r="G28" s="30">
        <v>6305</v>
      </c>
      <c r="H28" s="30">
        <v>6111</v>
      </c>
      <c r="I28" s="163">
        <f t="shared" si="2"/>
        <v>7.0000000000000001E-3</v>
      </c>
      <c r="J28" s="158">
        <f t="shared" si="3"/>
        <v>1.0880000000000001</v>
      </c>
      <c r="K28" s="199">
        <f t="shared" si="8"/>
        <v>0.99299999999999999</v>
      </c>
      <c r="L28" s="195">
        <f t="shared" si="4"/>
        <v>-2521.9</v>
      </c>
      <c r="M28" s="158">
        <f t="shared" si="5"/>
        <v>0.70799999999999996</v>
      </c>
      <c r="N28" s="194">
        <f t="shared" si="9"/>
        <v>-194</v>
      </c>
      <c r="O28" s="20"/>
    </row>
    <row r="29" spans="1:15" s="21" customFormat="1" ht="95.25" customHeight="1">
      <c r="A29" s="255" t="s">
        <v>345</v>
      </c>
      <c r="B29" s="251" t="s">
        <v>313</v>
      </c>
      <c r="C29" s="244">
        <v>0</v>
      </c>
      <c r="D29" s="243">
        <v>1650</v>
      </c>
      <c r="E29" s="243"/>
      <c r="F29" s="119">
        <v>1650</v>
      </c>
      <c r="G29" s="30">
        <v>0</v>
      </c>
      <c r="H29" s="30">
        <v>1641.6</v>
      </c>
      <c r="I29" s="163">
        <f t="shared" ref="I29" si="22">H29/Всего_доходов_2003</f>
        <v>2E-3</v>
      </c>
      <c r="J29" s="158" t="e">
        <f t="shared" ref="J29" si="23">H29/E29</f>
        <v>#DIV/0!</v>
      </c>
      <c r="K29" s="199">
        <f t="shared" ref="K29" si="24">H29/F29</f>
        <v>0.995</v>
      </c>
      <c r="L29" s="195">
        <f t="shared" ref="L29" si="25">H29-D29</f>
        <v>-8.4</v>
      </c>
      <c r="M29" s="158">
        <f t="shared" ref="M29" si="26">H29/D29</f>
        <v>0.995</v>
      </c>
      <c r="N29" s="194">
        <f t="shared" ref="N29" si="27">H29-G29</f>
        <v>1641.6</v>
      </c>
      <c r="O29" s="20"/>
    </row>
    <row r="30" spans="1:15" s="21" customFormat="1" ht="18" customHeight="1">
      <c r="A30" s="252" t="s">
        <v>254</v>
      </c>
      <c r="B30" s="246" t="s">
        <v>255</v>
      </c>
      <c r="C30" s="224">
        <v>3247.5</v>
      </c>
      <c r="D30" s="224">
        <v>3247.5</v>
      </c>
      <c r="E30" s="224">
        <v>776.2</v>
      </c>
      <c r="F30" s="224">
        <v>2805.6</v>
      </c>
      <c r="G30" s="224">
        <v>1774.8</v>
      </c>
      <c r="H30" s="224">
        <v>2793.4</v>
      </c>
      <c r="I30" s="169">
        <f t="shared" si="2"/>
        <v>3.0000000000000001E-3</v>
      </c>
      <c r="J30" s="158"/>
      <c r="K30" s="158">
        <f t="shared" si="8"/>
        <v>0.996</v>
      </c>
      <c r="L30" s="159">
        <f t="shared" si="4"/>
        <v>-454.1</v>
      </c>
      <c r="M30" s="158">
        <f t="shared" si="5"/>
        <v>0.86</v>
      </c>
      <c r="N30" s="194">
        <f t="shared" si="9"/>
        <v>1018.6</v>
      </c>
      <c r="O30" s="20"/>
    </row>
    <row r="31" spans="1:15" s="21" customFormat="1" ht="18" customHeight="1">
      <c r="A31" s="130" t="s">
        <v>172</v>
      </c>
      <c r="B31" s="44" t="s">
        <v>178</v>
      </c>
      <c r="C31" s="224">
        <v>0</v>
      </c>
      <c r="D31" s="224">
        <v>435</v>
      </c>
      <c r="E31" s="224">
        <v>2278.5</v>
      </c>
      <c r="F31" s="224">
        <v>435</v>
      </c>
      <c r="G31" s="224">
        <v>50</v>
      </c>
      <c r="H31" s="224">
        <v>904.4</v>
      </c>
      <c r="I31" s="169">
        <f t="shared" si="2"/>
        <v>1E-3</v>
      </c>
      <c r="J31" s="158">
        <f t="shared" si="3"/>
        <v>0.39700000000000002</v>
      </c>
      <c r="K31" s="158">
        <f t="shared" si="8"/>
        <v>2.0790000000000002</v>
      </c>
      <c r="L31" s="159">
        <f t="shared" si="4"/>
        <v>469.4</v>
      </c>
      <c r="M31" s="158">
        <f t="shared" si="5"/>
        <v>2.0790000000000002</v>
      </c>
      <c r="N31" s="194">
        <f t="shared" si="9"/>
        <v>854.4</v>
      </c>
      <c r="O31" s="20"/>
    </row>
    <row r="32" spans="1:15" s="17" customFormat="1" ht="27">
      <c r="A32" s="43" t="s">
        <v>37</v>
      </c>
      <c r="B32" s="44" t="s">
        <v>2</v>
      </c>
      <c r="C32" s="103">
        <f>SUM(C33:C35)</f>
        <v>6578.2</v>
      </c>
      <c r="D32" s="103">
        <f>SUM(D33:D36)</f>
        <v>103971.7</v>
      </c>
      <c r="E32" s="103">
        <f t="shared" ref="E32" si="28">SUM(E33:E35)</f>
        <v>6373.9</v>
      </c>
      <c r="F32" s="103">
        <f>SUM(F33:F36)</f>
        <v>9802.2999999999993</v>
      </c>
      <c r="G32" s="103">
        <f>SUM(G33:G36)</f>
        <v>6901.1</v>
      </c>
      <c r="H32" s="103">
        <f>SUM(H33:H36)</f>
        <v>9782.9</v>
      </c>
      <c r="I32" s="169">
        <f t="shared" si="2"/>
        <v>1.0999999999999999E-2</v>
      </c>
      <c r="J32" s="158">
        <f t="shared" si="3"/>
        <v>1.5349999999999999</v>
      </c>
      <c r="K32" s="158">
        <f t="shared" si="8"/>
        <v>0.998</v>
      </c>
      <c r="L32" s="159">
        <f t="shared" si="4"/>
        <v>-94188.800000000003</v>
      </c>
      <c r="M32" s="158">
        <f>H32/D32</f>
        <v>9.4E-2</v>
      </c>
      <c r="N32" s="194">
        <f t="shared" si="9"/>
        <v>2881.8</v>
      </c>
      <c r="O32" s="19"/>
    </row>
    <row r="33" spans="1:15" s="17" customFormat="1" ht="81">
      <c r="A33" s="13" t="s">
        <v>149</v>
      </c>
      <c r="B33" s="38" t="s">
        <v>107</v>
      </c>
      <c r="C33" s="120">
        <v>203.2</v>
      </c>
      <c r="D33" s="23">
        <v>94272.7</v>
      </c>
      <c r="E33" s="23">
        <v>1205.0999999999999</v>
      </c>
      <c r="F33" s="23">
        <v>103.3</v>
      </c>
      <c r="G33" s="30">
        <v>907.5</v>
      </c>
      <c r="H33" s="30">
        <v>103.2</v>
      </c>
      <c r="I33" s="163">
        <f t="shared" si="2"/>
        <v>0</v>
      </c>
      <c r="J33" s="158">
        <f t="shared" si="3"/>
        <v>8.5999999999999993E-2</v>
      </c>
      <c r="K33" s="199">
        <f t="shared" si="8"/>
        <v>0.999</v>
      </c>
      <c r="L33" s="195">
        <f t="shared" si="4"/>
        <v>-94169.5</v>
      </c>
      <c r="M33" s="158">
        <f t="shared" si="5"/>
        <v>1E-3</v>
      </c>
      <c r="N33" s="194">
        <f t="shared" si="9"/>
        <v>-804.3</v>
      </c>
      <c r="O33" s="19"/>
    </row>
    <row r="34" spans="1:15" s="17" customFormat="1" ht="54">
      <c r="A34" s="13" t="s">
        <v>181</v>
      </c>
      <c r="B34" s="38" t="s">
        <v>41</v>
      </c>
      <c r="C34" s="120">
        <v>6375</v>
      </c>
      <c r="D34" s="23">
        <v>8875</v>
      </c>
      <c r="E34" s="23">
        <v>5168.8</v>
      </c>
      <c r="F34" s="23">
        <v>8875</v>
      </c>
      <c r="G34" s="30">
        <v>5528.9</v>
      </c>
      <c r="H34" s="30">
        <v>8822.2000000000007</v>
      </c>
      <c r="I34" s="163">
        <f t="shared" si="2"/>
        <v>0.01</v>
      </c>
      <c r="J34" s="158">
        <f>H34/E34</f>
        <v>1.7070000000000001</v>
      </c>
      <c r="K34" s="199">
        <f t="shared" si="8"/>
        <v>0.99399999999999999</v>
      </c>
      <c r="L34" s="195">
        <f t="shared" si="4"/>
        <v>-52.8</v>
      </c>
      <c r="M34" s="158">
        <f t="shared" si="5"/>
        <v>0.99399999999999999</v>
      </c>
      <c r="N34" s="194">
        <f t="shared" si="9"/>
        <v>3293.3</v>
      </c>
      <c r="O34" s="19"/>
    </row>
    <row r="35" spans="1:15" s="17" customFormat="1" ht="54" customHeight="1">
      <c r="A35" s="13" t="s">
        <v>324</v>
      </c>
      <c r="B35" s="38" t="s">
        <v>323</v>
      </c>
      <c r="C35" s="30">
        <v>0</v>
      </c>
      <c r="D35" s="23">
        <v>353</v>
      </c>
      <c r="E35" s="23"/>
      <c r="F35" s="23">
        <v>353</v>
      </c>
      <c r="G35" s="30">
        <v>0</v>
      </c>
      <c r="H35" s="30">
        <v>352.9</v>
      </c>
      <c r="I35" s="163">
        <f t="shared" si="2"/>
        <v>0</v>
      </c>
      <c r="J35" s="158" t="e">
        <f t="shared" ref="J35:J46" si="29">H35/E35</f>
        <v>#DIV/0!</v>
      </c>
      <c r="K35" s="199">
        <f t="shared" si="8"/>
        <v>1</v>
      </c>
      <c r="L35" s="195">
        <f t="shared" ref="L35:L36" si="30">H35-D35</f>
        <v>-0.1</v>
      </c>
      <c r="M35" s="158">
        <f t="shared" ref="M35:M37" si="31">H35/D35</f>
        <v>1</v>
      </c>
      <c r="N35" s="194">
        <f t="shared" ref="N35:N36" si="32">H35-G35</f>
        <v>352.9</v>
      </c>
      <c r="O35" s="19"/>
    </row>
    <row r="36" spans="1:15" s="17" customFormat="1" ht="87" customHeight="1">
      <c r="A36" s="257" t="s">
        <v>325</v>
      </c>
      <c r="B36" s="38" t="s">
        <v>326</v>
      </c>
      <c r="C36" s="30">
        <v>0</v>
      </c>
      <c r="D36" s="23">
        <v>471</v>
      </c>
      <c r="E36" s="23"/>
      <c r="F36" s="23">
        <v>471</v>
      </c>
      <c r="G36" s="30">
        <v>464.7</v>
      </c>
      <c r="H36" s="30">
        <v>504.6</v>
      </c>
      <c r="I36" s="163">
        <f t="shared" si="2"/>
        <v>1E-3</v>
      </c>
      <c r="J36" s="158" t="e">
        <f t="shared" si="29"/>
        <v>#DIV/0!</v>
      </c>
      <c r="K36" s="199">
        <f t="shared" si="8"/>
        <v>1.071</v>
      </c>
      <c r="L36" s="195">
        <f t="shared" si="30"/>
        <v>33.6</v>
      </c>
      <c r="M36" s="158">
        <f t="shared" si="31"/>
        <v>1.071</v>
      </c>
      <c r="N36" s="194">
        <f t="shared" si="32"/>
        <v>39.9</v>
      </c>
      <c r="O36" s="19"/>
    </row>
    <row r="37" spans="1:15" s="17" customFormat="1" ht="12.75" customHeight="1">
      <c r="A37" s="40" t="s">
        <v>125</v>
      </c>
      <c r="B37" s="41" t="s">
        <v>126</v>
      </c>
      <c r="C37" s="104">
        <f>SUM(C44:C46)</f>
        <v>0</v>
      </c>
      <c r="D37" s="104">
        <f>SUM(D38:D46)</f>
        <v>157</v>
      </c>
      <c r="E37" s="104">
        <f t="shared" ref="E37" si="33">SUM(E44:E46)</f>
        <v>0</v>
      </c>
      <c r="F37" s="104">
        <f>SUM(F38:F46)</f>
        <v>157</v>
      </c>
      <c r="G37" s="104">
        <f>SUM(G38:G46)</f>
        <v>42.4</v>
      </c>
      <c r="H37" s="104">
        <f>SUM(H38:H46)</f>
        <v>167.3</v>
      </c>
      <c r="I37" s="169">
        <f t="shared" si="2"/>
        <v>0</v>
      </c>
      <c r="J37" s="158">
        <v>0</v>
      </c>
      <c r="K37" s="158">
        <f t="shared" si="8"/>
        <v>1.0660000000000001</v>
      </c>
      <c r="L37" s="159">
        <f t="shared" si="4"/>
        <v>10.3</v>
      </c>
      <c r="M37" s="158">
        <f t="shared" si="31"/>
        <v>1.0660000000000001</v>
      </c>
      <c r="N37" s="194">
        <f t="shared" si="9"/>
        <v>124.9</v>
      </c>
      <c r="O37" s="19"/>
    </row>
    <row r="38" spans="1:15" s="17" customFormat="1" ht="70.5" customHeight="1">
      <c r="A38" s="13" t="s">
        <v>327</v>
      </c>
      <c r="B38" s="38" t="s">
        <v>328</v>
      </c>
      <c r="C38" s="258">
        <v>0</v>
      </c>
      <c r="D38" s="258">
        <v>5</v>
      </c>
      <c r="E38" s="258"/>
      <c r="F38" s="258">
        <v>5</v>
      </c>
      <c r="G38" s="258">
        <v>0</v>
      </c>
      <c r="H38" s="258">
        <v>5</v>
      </c>
      <c r="I38" s="163">
        <f t="shared" si="2"/>
        <v>0</v>
      </c>
      <c r="J38" s="199"/>
      <c r="K38" s="199">
        <f t="shared" ref="K38:K39" si="34">H38/F38</f>
        <v>1</v>
      </c>
      <c r="L38" s="195">
        <f t="shared" si="4"/>
        <v>0</v>
      </c>
      <c r="M38" s="158">
        <f t="shared" ref="M38:M39" si="35">H38/D38</f>
        <v>1</v>
      </c>
      <c r="N38" s="194">
        <f t="shared" si="9"/>
        <v>5</v>
      </c>
      <c r="O38" s="19"/>
    </row>
    <row r="39" spans="1:15" s="17" customFormat="1" ht="87" customHeight="1">
      <c r="A39" s="13" t="s">
        <v>329</v>
      </c>
      <c r="B39" s="38" t="s">
        <v>330</v>
      </c>
      <c r="C39" s="258">
        <v>0</v>
      </c>
      <c r="D39" s="258">
        <v>56</v>
      </c>
      <c r="E39" s="258"/>
      <c r="F39" s="258">
        <v>56</v>
      </c>
      <c r="G39" s="258">
        <v>0</v>
      </c>
      <c r="H39" s="258">
        <v>56</v>
      </c>
      <c r="I39" s="163">
        <f t="shared" si="2"/>
        <v>0</v>
      </c>
      <c r="J39" s="199"/>
      <c r="K39" s="199">
        <f t="shared" si="34"/>
        <v>1</v>
      </c>
      <c r="L39" s="195">
        <f t="shared" si="4"/>
        <v>0</v>
      </c>
      <c r="M39" s="158">
        <f t="shared" si="35"/>
        <v>1</v>
      </c>
      <c r="N39" s="194">
        <f t="shared" si="9"/>
        <v>56</v>
      </c>
      <c r="O39" s="19"/>
    </row>
    <row r="40" spans="1:15" s="17" customFormat="1" ht="82.5" customHeight="1">
      <c r="A40" s="13" t="s">
        <v>331</v>
      </c>
      <c r="B40" s="38" t="s">
        <v>332</v>
      </c>
      <c r="C40" s="258">
        <v>0</v>
      </c>
      <c r="D40" s="258">
        <v>96</v>
      </c>
      <c r="E40" s="258"/>
      <c r="F40" s="258">
        <v>96</v>
      </c>
      <c r="G40" s="258">
        <v>5</v>
      </c>
      <c r="H40" s="258">
        <v>107.5</v>
      </c>
      <c r="I40" s="163">
        <f t="shared" si="2"/>
        <v>0</v>
      </c>
      <c r="J40" s="199"/>
      <c r="K40" s="199">
        <f t="shared" ref="K40" si="36">H40/F40</f>
        <v>1.1200000000000001</v>
      </c>
      <c r="L40" s="195">
        <f t="shared" ref="L40:L43" si="37">H40-D40</f>
        <v>11.5</v>
      </c>
      <c r="M40" s="158">
        <f t="shared" ref="M40" si="38">H40/D40</f>
        <v>1.1200000000000001</v>
      </c>
      <c r="N40" s="194">
        <f t="shared" ref="N40:N43" si="39">H40-G40</f>
        <v>102.5</v>
      </c>
      <c r="O40" s="19"/>
    </row>
    <row r="41" spans="1:15" s="17" customFormat="1" ht="69.75" customHeight="1">
      <c r="A41" s="13" t="s">
        <v>346</v>
      </c>
      <c r="B41" s="38" t="s">
        <v>342</v>
      </c>
      <c r="C41" s="258">
        <v>0</v>
      </c>
      <c r="D41" s="258">
        <v>0</v>
      </c>
      <c r="E41" s="258"/>
      <c r="F41" s="258">
        <v>0</v>
      </c>
      <c r="G41" s="258">
        <v>0</v>
      </c>
      <c r="H41" s="258">
        <v>-0.1</v>
      </c>
      <c r="I41" s="163">
        <f t="shared" si="2"/>
        <v>0</v>
      </c>
      <c r="J41" s="199"/>
      <c r="K41" s="199">
        <v>0</v>
      </c>
      <c r="L41" s="195">
        <f t="shared" si="37"/>
        <v>-0.1</v>
      </c>
      <c r="M41" s="158">
        <v>0</v>
      </c>
      <c r="N41" s="194">
        <f t="shared" si="39"/>
        <v>-0.1</v>
      </c>
      <c r="O41" s="19"/>
    </row>
    <row r="42" spans="1:15" s="17" customFormat="1" ht="69.75" customHeight="1">
      <c r="A42" s="13" t="s">
        <v>347</v>
      </c>
      <c r="B42" s="38" t="s">
        <v>342</v>
      </c>
      <c r="C42" s="258">
        <v>0</v>
      </c>
      <c r="D42" s="258">
        <v>0</v>
      </c>
      <c r="E42" s="258"/>
      <c r="F42" s="258">
        <v>0</v>
      </c>
      <c r="G42" s="258">
        <v>40</v>
      </c>
      <c r="H42" s="258">
        <v>0</v>
      </c>
      <c r="I42" s="163">
        <f t="shared" si="2"/>
        <v>0</v>
      </c>
      <c r="J42" s="199"/>
      <c r="K42" s="199">
        <v>0</v>
      </c>
      <c r="L42" s="195">
        <f t="shared" si="37"/>
        <v>0</v>
      </c>
      <c r="M42" s="158">
        <v>0</v>
      </c>
      <c r="N42" s="194">
        <f t="shared" si="39"/>
        <v>-40</v>
      </c>
      <c r="O42" s="19"/>
    </row>
    <row r="43" spans="1:15" s="17" customFormat="1" ht="69.75" customHeight="1">
      <c r="A43" s="13" t="s">
        <v>348</v>
      </c>
      <c r="B43" s="38" t="s">
        <v>342</v>
      </c>
      <c r="C43" s="258">
        <v>0</v>
      </c>
      <c r="D43" s="258">
        <v>0</v>
      </c>
      <c r="E43" s="258"/>
      <c r="F43" s="258">
        <v>0</v>
      </c>
      <c r="G43" s="258">
        <v>-2.6</v>
      </c>
      <c r="H43" s="258">
        <v>-1.1000000000000001</v>
      </c>
      <c r="I43" s="163">
        <f t="shared" si="2"/>
        <v>0</v>
      </c>
      <c r="J43" s="199"/>
      <c r="K43" s="199">
        <v>0</v>
      </c>
      <c r="L43" s="195">
        <f t="shared" si="37"/>
        <v>-1.1000000000000001</v>
      </c>
      <c r="M43" s="158">
        <v>0</v>
      </c>
      <c r="N43" s="194">
        <f t="shared" si="39"/>
        <v>1.5</v>
      </c>
      <c r="O43" s="19"/>
    </row>
    <row r="44" spans="1:15" s="17" customFormat="1" ht="40.5" hidden="1" customHeight="1">
      <c r="A44" s="13" t="s">
        <v>187</v>
      </c>
      <c r="B44" s="38" t="s">
        <v>186</v>
      </c>
      <c r="C44" s="102">
        <v>0</v>
      </c>
      <c r="D44" s="23">
        <v>0</v>
      </c>
      <c r="E44" s="23"/>
      <c r="F44" s="23">
        <v>0</v>
      </c>
      <c r="G44" s="30">
        <v>0</v>
      </c>
      <c r="H44" s="30">
        <v>0</v>
      </c>
      <c r="I44" s="163">
        <f t="shared" si="2"/>
        <v>0</v>
      </c>
      <c r="J44" s="158" t="e">
        <f t="shared" si="29"/>
        <v>#DIV/0!</v>
      </c>
      <c r="K44" s="158" t="e">
        <f t="shared" si="8"/>
        <v>#DIV/0!</v>
      </c>
      <c r="L44" s="195">
        <f t="shared" si="4"/>
        <v>0</v>
      </c>
      <c r="M44" s="158" t="e">
        <f t="shared" si="5"/>
        <v>#DIV/0!</v>
      </c>
      <c r="N44" s="194">
        <f t="shared" si="9"/>
        <v>0</v>
      </c>
      <c r="O44" s="19"/>
    </row>
    <row r="45" spans="1:15" s="17" customFormat="1" ht="54" hidden="1">
      <c r="A45" s="13" t="s">
        <v>256</v>
      </c>
      <c r="B45" s="38" t="s">
        <v>140</v>
      </c>
      <c r="C45" s="120">
        <v>0</v>
      </c>
      <c r="D45" s="23">
        <v>0</v>
      </c>
      <c r="E45" s="23">
        <v>0</v>
      </c>
      <c r="F45" s="23">
        <v>0</v>
      </c>
      <c r="G45" s="30">
        <v>0</v>
      </c>
      <c r="H45" s="30">
        <v>0</v>
      </c>
      <c r="I45" s="163">
        <f t="shared" si="2"/>
        <v>0</v>
      </c>
      <c r="J45" s="158">
        <v>0</v>
      </c>
      <c r="K45" s="199">
        <v>0</v>
      </c>
      <c r="L45" s="195">
        <f>H45-D45</f>
        <v>0</v>
      </c>
      <c r="M45" s="158">
        <v>0</v>
      </c>
      <c r="N45" s="194">
        <f t="shared" si="9"/>
        <v>0</v>
      </c>
      <c r="O45" s="19"/>
    </row>
    <row r="46" spans="1:15" s="17" customFormat="1" ht="54" hidden="1" customHeight="1">
      <c r="A46" s="13" t="s">
        <v>189</v>
      </c>
      <c r="B46" s="38" t="s">
        <v>188</v>
      </c>
      <c r="C46" s="102">
        <v>0</v>
      </c>
      <c r="D46" s="23">
        <v>0</v>
      </c>
      <c r="E46" s="23"/>
      <c r="F46" s="23">
        <v>0</v>
      </c>
      <c r="G46" s="30">
        <v>0</v>
      </c>
      <c r="H46" s="30">
        <v>0</v>
      </c>
      <c r="I46" s="163">
        <f t="shared" si="2"/>
        <v>0</v>
      </c>
      <c r="J46" s="158" t="e">
        <f t="shared" si="29"/>
        <v>#DIV/0!</v>
      </c>
      <c r="K46" s="158" t="e">
        <f t="shared" si="8"/>
        <v>#DIV/0!</v>
      </c>
      <c r="L46" s="195">
        <f t="shared" si="4"/>
        <v>0</v>
      </c>
      <c r="M46" s="158" t="e">
        <f t="shared" si="5"/>
        <v>#DIV/0!</v>
      </c>
      <c r="N46" s="194">
        <f t="shared" si="9"/>
        <v>0</v>
      </c>
      <c r="O46" s="19"/>
    </row>
    <row r="47" spans="1:15" s="17" customFormat="1">
      <c r="A47" s="40" t="s">
        <v>3</v>
      </c>
      <c r="B47" s="41" t="s">
        <v>5</v>
      </c>
      <c r="C47" s="104">
        <f>SUM(C48:C53)</f>
        <v>0</v>
      </c>
      <c r="D47" s="104">
        <f>SUM(D48:D53)</f>
        <v>0</v>
      </c>
      <c r="E47" s="104">
        <f t="shared" ref="E47:F47" si="40">SUM(E48:E53)</f>
        <v>0</v>
      </c>
      <c r="F47" s="104">
        <f t="shared" si="40"/>
        <v>0</v>
      </c>
      <c r="G47" s="104">
        <f>SUM(G48:G53)</f>
        <v>91.1</v>
      </c>
      <c r="H47" s="104">
        <f>SUM(H48:H53)</f>
        <v>151.30000000000001</v>
      </c>
      <c r="I47" s="169">
        <f t="shared" si="2"/>
        <v>0</v>
      </c>
      <c r="J47" s="158">
        <v>0</v>
      </c>
      <c r="K47" s="158">
        <v>0</v>
      </c>
      <c r="L47" s="159">
        <f t="shared" si="4"/>
        <v>151.30000000000001</v>
      </c>
      <c r="M47" s="158">
        <v>0</v>
      </c>
      <c r="N47" s="194">
        <f t="shared" si="9"/>
        <v>60.2</v>
      </c>
      <c r="O47" s="19"/>
    </row>
    <row r="48" spans="1:15" s="17" customFormat="1" ht="27">
      <c r="A48" s="13" t="s">
        <v>141</v>
      </c>
      <c r="B48" s="38" t="s">
        <v>48</v>
      </c>
      <c r="C48" s="120">
        <v>0</v>
      </c>
      <c r="D48" s="23">
        <v>0</v>
      </c>
      <c r="E48" s="23">
        <v>0</v>
      </c>
      <c r="F48" s="23">
        <v>0</v>
      </c>
      <c r="G48" s="30">
        <v>5.4</v>
      </c>
      <c r="H48" s="30">
        <v>5.4</v>
      </c>
      <c r="I48" s="163">
        <f t="shared" si="2"/>
        <v>0</v>
      </c>
      <c r="J48" s="158">
        <v>0</v>
      </c>
      <c r="K48" s="199">
        <v>0</v>
      </c>
      <c r="L48" s="195">
        <f t="shared" si="4"/>
        <v>5.4</v>
      </c>
      <c r="M48" s="158">
        <v>0</v>
      </c>
      <c r="N48" s="194">
        <f t="shared" si="9"/>
        <v>0</v>
      </c>
      <c r="O48" s="19"/>
    </row>
    <row r="49" spans="1:18" s="17" customFormat="1" ht="27">
      <c r="A49" s="13" t="s">
        <v>336</v>
      </c>
      <c r="B49" s="38" t="s">
        <v>48</v>
      </c>
      <c r="C49" s="120">
        <v>0</v>
      </c>
      <c r="D49" s="23">
        <v>0</v>
      </c>
      <c r="E49" s="23"/>
      <c r="F49" s="23">
        <v>0</v>
      </c>
      <c r="G49" s="30">
        <v>0</v>
      </c>
      <c r="H49" s="30">
        <v>0.2</v>
      </c>
      <c r="I49" s="163">
        <f t="shared" si="2"/>
        <v>0</v>
      </c>
      <c r="J49" s="158"/>
      <c r="K49" s="199">
        <v>0</v>
      </c>
      <c r="L49" s="195">
        <f t="shared" ref="L49:L52" si="41">H49-D49</f>
        <v>0.2</v>
      </c>
      <c r="M49" s="158">
        <v>0</v>
      </c>
      <c r="N49" s="194">
        <f t="shared" ref="N49:N52" si="42">H49-G49</f>
        <v>0.2</v>
      </c>
      <c r="O49" s="19"/>
    </row>
    <row r="50" spans="1:18" s="17" customFormat="1" ht="27">
      <c r="A50" s="13" t="s">
        <v>337</v>
      </c>
      <c r="B50" s="38" t="s">
        <v>48</v>
      </c>
      <c r="C50" s="120">
        <v>0</v>
      </c>
      <c r="D50" s="23">
        <v>0</v>
      </c>
      <c r="E50" s="23"/>
      <c r="F50" s="23">
        <v>0</v>
      </c>
      <c r="G50" s="30">
        <v>19.399999999999999</v>
      </c>
      <c r="H50" s="30">
        <v>-5.4</v>
      </c>
      <c r="I50" s="163">
        <f t="shared" si="2"/>
        <v>0</v>
      </c>
      <c r="J50" s="158"/>
      <c r="K50" s="199">
        <v>0</v>
      </c>
      <c r="L50" s="195">
        <f t="shared" si="41"/>
        <v>-5.4</v>
      </c>
      <c r="M50" s="158">
        <v>0</v>
      </c>
      <c r="N50" s="194">
        <f t="shared" si="42"/>
        <v>-24.8</v>
      </c>
      <c r="O50" s="19"/>
    </row>
    <row r="51" spans="1:18" s="17" customFormat="1" ht="27">
      <c r="A51" s="13" t="s">
        <v>338</v>
      </c>
      <c r="B51" s="38" t="s">
        <v>339</v>
      </c>
      <c r="C51" s="120">
        <v>0</v>
      </c>
      <c r="D51" s="23">
        <v>0</v>
      </c>
      <c r="E51" s="23"/>
      <c r="F51" s="23">
        <v>0</v>
      </c>
      <c r="G51" s="30">
        <v>66.3</v>
      </c>
      <c r="H51" s="30">
        <v>140.4</v>
      </c>
      <c r="I51" s="163">
        <f t="shared" si="2"/>
        <v>0</v>
      </c>
      <c r="J51" s="158"/>
      <c r="K51" s="199">
        <v>0</v>
      </c>
      <c r="L51" s="195">
        <f t="shared" si="41"/>
        <v>140.4</v>
      </c>
      <c r="M51" s="158">
        <v>0</v>
      </c>
      <c r="N51" s="194">
        <f t="shared" si="42"/>
        <v>74.099999999999994</v>
      </c>
      <c r="O51" s="19"/>
    </row>
    <row r="52" spans="1:18" s="17" customFormat="1" ht="27" hidden="1">
      <c r="A52" s="13" t="s">
        <v>340</v>
      </c>
      <c r="B52" s="38" t="s">
        <v>339</v>
      </c>
      <c r="C52" s="120">
        <v>0</v>
      </c>
      <c r="D52" s="23">
        <v>0</v>
      </c>
      <c r="E52" s="23"/>
      <c r="F52" s="23">
        <v>0</v>
      </c>
      <c r="G52" s="30">
        <v>0</v>
      </c>
      <c r="H52" s="30">
        <v>0</v>
      </c>
      <c r="I52" s="163">
        <f t="shared" si="2"/>
        <v>0</v>
      </c>
      <c r="J52" s="158"/>
      <c r="K52" s="199">
        <v>0</v>
      </c>
      <c r="L52" s="195">
        <f t="shared" si="41"/>
        <v>0</v>
      </c>
      <c r="M52" s="158">
        <v>0</v>
      </c>
      <c r="N52" s="194">
        <f t="shared" si="42"/>
        <v>0</v>
      </c>
      <c r="O52" s="19"/>
    </row>
    <row r="53" spans="1:18" s="17" customFormat="1" ht="27" customHeight="1">
      <c r="A53" s="13" t="s">
        <v>146</v>
      </c>
      <c r="B53" s="38" t="s">
        <v>150</v>
      </c>
      <c r="C53" s="30">
        <v>0</v>
      </c>
      <c r="D53" s="23">
        <v>0</v>
      </c>
      <c r="E53" s="23"/>
      <c r="F53" s="23">
        <v>0</v>
      </c>
      <c r="G53" s="30">
        <v>0</v>
      </c>
      <c r="H53" s="30">
        <v>10.7</v>
      </c>
      <c r="I53" s="163">
        <f>H53/Всего_доходов_2003</f>
        <v>0</v>
      </c>
      <c r="J53" s="158" t="e">
        <f t="shared" ref="J53:J84" si="43">H53/E53</f>
        <v>#DIV/0!</v>
      </c>
      <c r="K53" s="158">
        <v>0</v>
      </c>
      <c r="L53" s="195">
        <f t="shared" si="4"/>
        <v>10.7</v>
      </c>
      <c r="M53" s="158">
        <v>0</v>
      </c>
      <c r="N53" s="194">
        <f t="shared" si="9"/>
        <v>10.7</v>
      </c>
      <c r="O53" s="19"/>
    </row>
    <row r="54" spans="1:18" s="17" customFormat="1">
      <c r="A54" s="40" t="s">
        <v>39</v>
      </c>
      <c r="B54" s="45" t="s">
        <v>4</v>
      </c>
      <c r="C54" s="104">
        <f>SUM(C55,C57,C64,C76)</f>
        <v>642177.30000000005</v>
      </c>
      <c r="D54" s="104">
        <f>SUM(D55,D57,D64,D76,D79,D82)</f>
        <v>649712.69999999995</v>
      </c>
      <c r="E54" s="104">
        <f>SUM(E55,E57,E64,E76,E79)</f>
        <v>160249.79999999999</v>
      </c>
      <c r="F54" s="104">
        <f>SUM(F55,F57,F64,F76,F79,F82)</f>
        <v>435757.8</v>
      </c>
      <c r="G54" s="104">
        <f>SUM(G55,G57,G64,G76,G79,G82)</f>
        <v>315272.3</v>
      </c>
      <c r="H54" s="104">
        <f>SUM(H55,H57,H64,H76,H79,H82)</f>
        <v>435391.8</v>
      </c>
      <c r="I54" s="169">
        <f>H54/Всего_доходов_2003</f>
        <v>0.50800000000000001</v>
      </c>
      <c r="J54" s="158">
        <f t="shared" si="43"/>
        <v>2.7170000000000001</v>
      </c>
      <c r="K54" s="158">
        <f t="shared" si="8"/>
        <v>0.999</v>
      </c>
      <c r="L54" s="159">
        <f t="shared" si="4"/>
        <v>-214320.9</v>
      </c>
      <c r="M54" s="158">
        <f t="shared" si="5"/>
        <v>0.67</v>
      </c>
      <c r="N54" s="194">
        <f t="shared" si="9"/>
        <v>120119.5</v>
      </c>
      <c r="O54" s="19"/>
    </row>
    <row r="55" spans="1:18" s="17" customFormat="1" ht="27">
      <c r="A55" s="46" t="s">
        <v>199</v>
      </c>
      <c r="B55" s="47" t="s">
        <v>165</v>
      </c>
      <c r="C55" s="104">
        <f>C56</f>
        <v>13691.9</v>
      </c>
      <c r="D55" s="104">
        <f t="shared" ref="D55:H55" si="44">D56</f>
        <v>13691.9</v>
      </c>
      <c r="E55" s="104">
        <f t="shared" si="44"/>
        <v>9010.9</v>
      </c>
      <c r="F55" s="104">
        <f t="shared" si="44"/>
        <v>10268.9</v>
      </c>
      <c r="G55" s="104">
        <f t="shared" si="44"/>
        <v>9729.5</v>
      </c>
      <c r="H55" s="104">
        <f t="shared" si="44"/>
        <v>10268.9</v>
      </c>
      <c r="I55" s="169">
        <f>H55/Всего_доходов_2003</f>
        <v>1.2E-2</v>
      </c>
      <c r="J55" s="158">
        <f t="shared" si="43"/>
        <v>1.1399999999999999</v>
      </c>
      <c r="K55" s="158">
        <f t="shared" si="8"/>
        <v>1</v>
      </c>
      <c r="L55" s="159">
        <f t="shared" si="4"/>
        <v>-3423</v>
      </c>
      <c r="M55" s="158">
        <f t="shared" si="5"/>
        <v>0.75</v>
      </c>
      <c r="N55" s="194">
        <f t="shared" si="9"/>
        <v>539.4</v>
      </c>
      <c r="O55" s="19"/>
    </row>
    <row r="56" spans="1:18" s="17" customFormat="1" ht="27">
      <c r="A56" s="48" t="s">
        <v>198</v>
      </c>
      <c r="B56" s="49" t="s">
        <v>166</v>
      </c>
      <c r="C56" s="120">
        <v>13691.9</v>
      </c>
      <c r="D56" s="120">
        <v>13691.9</v>
      </c>
      <c r="E56" s="30">
        <v>9010.9</v>
      </c>
      <c r="F56" s="30">
        <v>10268.9</v>
      </c>
      <c r="G56" s="30">
        <v>9729.5</v>
      </c>
      <c r="H56" s="30">
        <v>10268.9</v>
      </c>
      <c r="I56" s="163">
        <f>H56/Всего_доходов_2003</f>
        <v>1.2E-2</v>
      </c>
      <c r="J56" s="158">
        <f t="shared" si="43"/>
        <v>1.1399999999999999</v>
      </c>
      <c r="K56" s="199">
        <f t="shared" si="8"/>
        <v>1</v>
      </c>
      <c r="L56" s="195">
        <f t="shared" si="4"/>
        <v>-3423</v>
      </c>
      <c r="M56" s="158">
        <f t="shared" si="5"/>
        <v>0.75</v>
      </c>
      <c r="N56" s="194">
        <f t="shared" si="9"/>
        <v>539.4</v>
      </c>
      <c r="O56" s="19"/>
    </row>
    <row r="57" spans="1:18" s="17" customFormat="1" ht="40.5" customHeight="1">
      <c r="A57" s="50" t="s">
        <v>205</v>
      </c>
      <c r="B57" s="45" t="s">
        <v>108</v>
      </c>
      <c r="C57" s="104">
        <f>SUM(C58:C63)</f>
        <v>32377.4</v>
      </c>
      <c r="D57" s="104">
        <f t="shared" ref="D57:H57" si="45">SUM(D58:D63)</f>
        <v>32377.4</v>
      </c>
      <c r="E57" s="104">
        <f t="shared" si="45"/>
        <v>106243.5</v>
      </c>
      <c r="F57" s="104">
        <f t="shared" si="45"/>
        <v>32377.4</v>
      </c>
      <c r="G57" s="104">
        <f t="shared" ref="G57" si="46">SUM(G58:G63)</f>
        <v>35337.9</v>
      </c>
      <c r="H57" s="104">
        <f t="shared" si="45"/>
        <v>32377.4</v>
      </c>
      <c r="I57" s="169">
        <f>H57/Всего_доходов_2003</f>
        <v>3.7999999999999999E-2</v>
      </c>
      <c r="J57" s="158">
        <f t="shared" si="43"/>
        <v>0.30499999999999999</v>
      </c>
      <c r="K57" s="158">
        <f t="shared" si="8"/>
        <v>1</v>
      </c>
      <c r="L57" s="159">
        <f t="shared" si="4"/>
        <v>0</v>
      </c>
      <c r="M57" s="158">
        <f t="shared" si="5"/>
        <v>1</v>
      </c>
      <c r="N57" s="194">
        <f t="shared" si="9"/>
        <v>-2960.5</v>
      </c>
      <c r="O57" s="19"/>
    </row>
    <row r="58" spans="1:18" s="21" customFormat="1" ht="60" customHeight="1">
      <c r="A58" s="95" t="s">
        <v>197</v>
      </c>
      <c r="B58" s="94" t="s">
        <v>183</v>
      </c>
      <c r="C58" s="120">
        <v>32377.4</v>
      </c>
      <c r="D58" s="120">
        <v>32377.4</v>
      </c>
      <c r="E58" s="30">
        <v>67574.3</v>
      </c>
      <c r="F58" s="30">
        <v>32377.4</v>
      </c>
      <c r="G58" s="30">
        <v>28810</v>
      </c>
      <c r="H58" s="30">
        <v>32377.4</v>
      </c>
      <c r="I58" s="163">
        <f t="shared" ref="I58:I64" si="47">H58/Всего_доходов_2003</f>
        <v>3.7999999999999999E-2</v>
      </c>
      <c r="J58" s="158">
        <f t="shared" si="43"/>
        <v>0.47899999999999998</v>
      </c>
      <c r="K58" s="199">
        <f t="shared" si="8"/>
        <v>1</v>
      </c>
      <c r="L58" s="195">
        <f>H58-D58</f>
        <v>0</v>
      </c>
      <c r="M58" s="158">
        <f>H58/D58</f>
        <v>1</v>
      </c>
      <c r="N58" s="194">
        <f t="shared" si="9"/>
        <v>3567.4</v>
      </c>
    </row>
    <row r="59" spans="1:18" s="21" customFormat="1" ht="60" hidden="1" customHeight="1">
      <c r="A59" s="95" t="s">
        <v>206</v>
      </c>
      <c r="B59" s="94" t="s">
        <v>207</v>
      </c>
      <c r="C59" s="120">
        <v>0</v>
      </c>
      <c r="D59" s="120">
        <v>0</v>
      </c>
      <c r="E59" s="30">
        <v>20909.2</v>
      </c>
      <c r="F59" s="30">
        <v>0</v>
      </c>
      <c r="G59" s="30">
        <v>0</v>
      </c>
      <c r="H59" s="30">
        <v>0</v>
      </c>
      <c r="I59" s="163">
        <f t="shared" si="47"/>
        <v>0</v>
      </c>
      <c r="J59" s="158">
        <f t="shared" si="43"/>
        <v>0</v>
      </c>
      <c r="K59" s="199" t="e">
        <f t="shared" si="8"/>
        <v>#DIV/0!</v>
      </c>
      <c r="L59" s="195">
        <f t="shared" ref="L59:L84" si="48">H59-D59</f>
        <v>0</v>
      </c>
      <c r="M59" s="158" t="e">
        <f t="shared" si="5"/>
        <v>#DIV/0!</v>
      </c>
      <c r="N59" s="194">
        <f t="shared" si="9"/>
        <v>0</v>
      </c>
    </row>
    <row r="60" spans="1:18" s="21" customFormat="1" ht="81" hidden="1" customHeight="1">
      <c r="A60" s="95" t="s">
        <v>223</v>
      </c>
      <c r="B60" s="94" t="s">
        <v>180</v>
      </c>
      <c r="C60" s="120">
        <v>0</v>
      </c>
      <c r="D60" s="120">
        <v>0</v>
      </c>
      <c r="E60" s="30">
        <v>0</v>
      </c>
      <c r="F60" s="30">
        <v>0</v>
      </c>
      <c r="G60" s="30">
        <v>0</v>
      </c>
      <c r="H60" s="30">
        <v>0</v>
      </c>
      <c r="I60" s="163">
        <f t="shared" si="47"/>
        <v>0</v>
      </c>
      <c r="J60" s="158">
        <v>0</v>
      </c>
      <c r="K60" s="199" t="e">
        <f t="shared" si="8"/>
        <v>#DIV/0!</v>
      </c>
      <c r="L60" s="195">
        <f>H60-D60</f>
        <v>0</v>
      </c>
      <c r="M60" s="158">
        <v>0</v>
      </c>
      <c r="N60" s="194">
        <f t="shared" si="9"/>
        <v>0</v>
      </c>
    </row>
    <row r="61" spans="1:18" s="21" customFormat="1" ht="60" hidden="1" customHeight="1">
      <c r="A61" s="95" t="s">
        <v>221</v>
      </c>
      <c r="B61" s="94" t="s">
        <v>222</v>
      </c>
      <c r="C61" s="120">
        <v>0</v>
      </c>
      <c r="D61" s="120">
        <v>0</v>
      </c>
      <c r="E61" s="30">
        <v>0</v>
      </c>
      <c r="F61" s="30">
        <v>0</v>
      </c>
      <c r="G61" s="30">
        <v>0</v>
      </c>
      <c r="H61" s="30">
        <v>0</v>
      </c>
      <c r="I61" s="163">
        <f t="shared" si="47"/>
        <v>0</v>
      </c>
      <c r="J61" s="158">
        <v>0</v>
      </c>
      <c r="K61" s="199" t="e">
        <f t="shared" si="8"/>
        <v>#DIV/0!</v>
      </c>
      <c r="L61" s="195">
        <f t="shared" si="48"/>
        <v>0</v>
      </c>
      <c r="M61" s="158" t="e">
        <f t="shared" si="5"/>
        <v>#DIV/0!</v>
      </c>
      <c r="N61" s="194">
        <f t="shared" si="9"/>
        <v>0</v>
      </c>
    </row>
    <row r="62" spans="1:18" s="21" customFormat="1" ht="40.5">
      <c r="A62" s="95" t="s">
        <v>208</v>
      </c>
      <c r="B62" s="94" t="s">
        <v>209</v>
      </c>
      <c r="C62" s="120">
        <v>0</v>
      </c>
      <c r="D62" s="120">
        <v>0</v>
      </c>
      <c r="E62" s="30">
        <v>2760</v>
      </c>
      <c r="F62" s="30">
        <v>0</v>
      </c>
      <c r="G62" s="30">
        <v>6527.9</v>
      </c>
      <c r="H62" s="30">
        <v>0</v>
      </c>
      <c r="I62" s="163">
        <f t="shared" si="47"/>
        <v>0</v>
      </c>
      <c r="J62" s="158">
        <f t="shared" si="43"/>
        <v>0</v>
      </c>
      <c r="K62" s="199">
        <v>0</v>
      </c>
      <c r="L62" s="195">
        <f t="shared" si="48"/>
        <v>0</v>
      </c>
      <c r="M62" s="158">
        <v>0</v>
      </c>
      <c r="N62" s="194">
        <f t="shared" si="9"/>
        <v>-6527.9</v>
      </c>
    </row>
    <row r="63" spans="1:18" s="21" customFormat="1" ht="33" hidden="1" customHeight="1">
      <c r="A63" s="95" t="s">
        <v>204</v>
      </c>
      <c r="B63" s="94" t="s">
        <v>180</v>
      </c>
      <c r="C63" s="120">
        <v>0</v>
      </c>
      <c r="D63" s="120">
        <v>0</v>
      </c>
      <c r="E63" s="30">
        <v>15000</v>
      </c>
      <c r="F63" s="30">
        <v>0</v>
      </c>
      <c r="G63" s="30">
        <v>0</v>
      </c>
      <c r="H63" s="30">
        <v>0</v>
      </c>
      <c r="I63" s="163">
        <f t="shared" si="47"/>
        <v>0</v>
      </c>
      <c r="J63" s="158">
        <f t="shared" si="43"/>
        <v>0</v>
      </c>
      <c r="K63" s="199" t="e">
        <f t="shared" si="8"/>
        <v>#DIV/0!</v>
      </c>
      <c r="L63" s="195">
        <f>H63-D63</f>
        <v>0</v>
      </c>
      <c r="M63" s="158" t="e">
        <f t="shared" si="5"/>
        <v>#DIV/0!</v>
      </c>
      <c r="N63" s="194">
        <f t="shared" si="9"/>
        <v>0</v>
      </c>
      <c r="R63" s="21" t="s">
        <v>260</v>
      </c>
    </row>
    <row r="64" spans="1:18" s="21" customFormat="1" ht="13.5" customHeight="1">
      <c r="A64" s="113" t="s">
        <v>196</v>
      </c>
      <c r="B64" s="114" t="s">
        <v>169</v>
      </c>
      <c r="C64" s="105">
        <f>C65+C68+C70+C76+C79+C82</f>
        <v>596108</v>
      </c>
      <c r="D64" s="105">
        <f>D65+D68+D70</f>
        <v>603243.4</v>
      </c>
      <c r="E64" s="105">
        <f>SUM(E66:E72)</f>
        <v>43948.1</v>
      </c>
      <c r="F64" s="105">
        <f t="shared" ref="F64:H64" si="49">F65+F68+F70</f>
        <v>392711.5</v>
      </c>
      <c r="G64" s="105">
        <f t="shared" si="49"/>
        <v>270341.90000000002</v>
      </c>
      <c r="H64" s="105">
        <f t="shared" si="49"/>
        <v>392345.5</v>
      </c>
      <c r="I64" s="169">
        <f t="shared" si="47"/>
        <v>0.45700000000000002</v>
      </c>
      <c r="J64" s="158">
        <f t="shared" si="43"/>
        <v>8.9269999999999996</v>
      </c>
      <c r="K64" s="158">
        <f t="shared" si="8"/>
        <v>0.999</v>
      </c>
      <c r="L64" s="159">
        <f t="shared" si="48"/>
        <v>-210897.9</v>
      </c>
      <c r="M64" s="158">
        <f t="shared" si="5"/>
        <v>0.65</v>
      </c>
      <c r="N64" s="194">
        <f t="shared" si="9"/>
        <v>122003.6</v>
      </c>
    </row>
    <row r="65" spans="1:15" s="21" customFormat="1" ht="70.5" customHeight="1">
      <c r="A65" s="113" t="s">
        <v>306</v>
      </c>
      <c r="B65" s="238" t="s">
        <v>261</v>
      </c>
      <c r="C65" s="104">
        <f>SUM(C66)</f>
        <v>299900</v>
      </c>
      <c r="D65" s="104">
        <f>SUM(D66)</f>
        <v>299900</v>
      </c>
      <c r="E65" s="104">
        <f>SUM(E66:E72)</f>
        <v>43948.1</v>
      </c>
      <c r="F65" s="104">
        <f>SUM(F66)</f>
        <v>297836.90000000002</v>
      </c>
      <c r="G65" s="104">
        <f>SUM(G66)</f>
        <v>256205.9</v>
      </c>
      <c r="H65" s="104">
        <f>SUM(H66)</f>
        <v>297836.90000000002</v>
      </c>
      <c r="I65" s="169">
        <f>H65/Всего_доходов_2003</f>
        <v>0.34699999999999998</v>
      </c>
      <c r="J65" s="158">
        <f t="shared" si="43"/>
        <v>6.7770000000000001</v>
      </c>
      <c r="K65" s="158">
        <f t="shared" si="8"/>
        <v>1</v>
      </c>
      <c r="L65" s="159">
        <f t="shared" si="48"/>
        <v>-2063.1</v>
      </c>
      <c r="M65" s="158">
        <f t="shared" si="5"/>
        <v>0.99299999999999999</v>
      </c>
      <c r="N65" s="194">
        <f t="shared" si="9"/>
        <v>41631</v>
      </c>
    </row>
    <row r="66" spans="1:15" s="21" customFormat="1" ht="60.75" customHeight="1">
      <c r="A66" s="95" t="s">
        <v>259</v>
      </c>
      <c r="B66" s="237" t="s">
        <v>261</v>
      </c>
      <c r="C66" s="120">
        <v>299900</v>
      </c>
      <c r="D66" s="120">
        <v>299900</v>
      </c>
      <c r="E66" s="120"/>
      <c r="F66" s="120">
        <v>297836.90000000002</v>
      </c>
      <c r="G66" s="120">
        <v>256205.9</v>
      </c>
      <c r="H66" s="120">
        <v>297836.90000000002</v>
      </c>
      <c r="I66" s="141">
        <f t="shared" ref="I66:I84" si="50">H66/Всего_доходов_2003</f>
        <v>0.34699999999999998</v>
      </c>
      <c r="J66" s="199"/>
      <c r="K66" s="199">
        <f t="shared" si="8"/>
        <v>1</v>
      </c>
      <c r="L66" s="195">
        <f>H66-D66</f>
        <v>-2063.1</v>
      </c>
      <c r="M66" s="199">
        <f t="shared" ref="M66:M71" si="51">H66/D66</f>
        <v>0.99299999999999999</v>
      </c>
      <c r="N66" s="190">
        <f t="shared" ref="N66:N71" si="52">H66-G66</f>
        <v>41631</v>
      </c>
    </row>
    <row r="67" spans="1:15" s="21" customFormat="1" ht="53.25" hidden="1" customHeight="1">
      <c r="A67" s="95" t="s">
        <v>257</v>
      </c>
      <c r="B67" s="129" t="s">
        <v>182</v>
      </c>
      <c r="C67" s="120">
        <v>0</v>
      </c>
      <c r="D67" s="120">
        <v>0</v>
      </c>
      <c r="E67" s="120"/>
      <c r="F67" s="120">
        <v>0</v>
      </c>
      <c r="G67" s="120">
        <v>0</v>
      </c>
      <c r="H67" s="120">
        <v>0</v>
      </c>
      <c r="I67" s="141">
        <f t="shared" si="50"/>
        <v>0</v>
      </c>
      <c r="J67" s="199"/>
      <c r="K67" s="199" t="e">
        <f t="shared" si="8"/>
        <v>#DIV/0!</v>
      </c>
      <c r="L67" s="195">
        <f t="shared" ref="L67:L71" si="53">H67-D67</f>
        <v>0</v>
      </c>
      <c r="M67" s="199" t="e">
        <f t="shared" si="51"/>
        <v>#DIV/0!</v>
      </c>
      <c r="N67" s="190">
        <f t="shared" si="52"/>
        <v>0</v>
      </c>
    </row>
    <row r="68" spans="1:15" s="21" customFormat="1" ht="40.5" customHeight="1">
      <c r="A68" s="113" t="s">
        <v>307</v>
      </c>
      <c r="B68" s="236" t="s">
        <v>304</v>
      </c>
      <c r="C68" s="104">
        <f>SUM(C69)</f>
        <v>0</v>
      </c>
      <c r="D68" s="104">
        <f>SUM(D69)</f>
        <v>2500</v>
      </c>
      <c r="E68" s="104">
        <f>SUM(E69:E77)</f>
        <v>22947.7</v>
      </c>
      <c r="F68" s="104">
        <f>SUM(F69)</f>
        <v>2500</v>
      </c>
      <c r="G68" s="104">
        <f>SUM(G69)</f>
        <v>0</v>
      </c>
      <c r="H68" s="104">
        <f>SUM(H69)</f>
        <v>2500</v>
      </c>
      <c r="I68" s="169">
        <f>H68/Всего_доходов_2003</f>
        <v>3.0000000000000001E-3</v>
      </c>
      <c r="J68" s="158">
        <f t="shared" ref="J68" si="54">H68/E68</f>
        <v>0.109</v>
      </c>
      <c r="K68" s="158">
        <f t="shared" ref="K68:K69" si="55">H68/F68</f>
        <v>1</v>
      </c>
      <c r="L68" s="159">
        <f t="shared" si="53"/>
        <v>0</v>
      </c>
      <c r="M68" s="158">
        <f t="shared" si="51"/>
        <v>1</v>
      </c>
      <c r="N68" s="194">
        <f t="shared" si="52"/>
        <v>2500</v>
      </c>
    </row>
    <row r="69" spans="1:15" s="21" customFormat="1" ht="44.25" customHeight="1">
      <c r="A69" s="95" t="s">
        <v>302</v>
      </c>
      <c r="B69" s="235" t="s">
        <v>303</v>
      </c>
      <c r="C69" s="120">
        <v>0</v>
      </c>
      <c r="D69" s="120">
        <v>2500</v>
      </c>
      <c r="E69" s="120"/>
      <c r="F69" s="120">
        <v>2500</v>
      </c>
      <c r="G69" s="120">
        <v>0</v>
      </c>
      <c r="H69" s="120">
        <v>2500</v>
      </c>
      <c r="I69" s="141">
        <f t="shared" ref="I69" si="56">H69/Всего_доходов_2003</f>
        <v>3.0000000000000001E-3</v>
      </c>
      <c r="J69" s="199"/>
      <c r="K69" s="199">
        <f t="shared" si="55"/>
        <v>1</v>
      </c>
      <c r="L69" s="195">
        <f>H69-D69</f>
        <v>0</v>
      </c>
      <c r="M69" s="199">
        <f t="shared" ref="M69" si="57">H69/D69</f>
        <v>1</v>
      </c>
      <c r="N69" s="190">
        <f t="shared" ref="N69" si="58">H69-G69</f>
        <v>2500</v>
      </c>
    </row>
    <row r="70" spans="1:15" s="21" customFormat="1" ht="33" customHeight="1">
      <c r="A70" s="113" t="s">
        <v>308</v>
      </c>
      <c r="B70" s="236" t="s">
        <v>305</v>
      </c>
      <c r="C70" s="104">
        <f>SUM(C71:C73)</f>
        <v>296208</v>
      </c>
      <c r="D70" s="104">
        <f>SUM(D71:D75)</f>
        <v>300843.40000000002</v>
      </c>
      <c r="E70" s="104">
        <f t="shared" ref="E70" si="59">SUM(E71:E73)</f>
        <v>10500.2</v>
      </c>
      <c r="F70" s="104">
        <f t="shared" ref="F70:H70" si="60">SUM(F71:F75)</f>
        <v>92374.6</v>
      </c>
      <c r="G70" s="104">
        <f t="shared" si="60"/>
        <v>14136</v>
      </c>
      <c r="H70" s="104">
        <f t="shared" si="60"/>
        <v>92008.6</v>
      </c>
      <c r="I70" s="169">
        <f>H70/Всего_доходов_2003</f>
        <v>0.107</v>
      </c>
      <c r="J70" s="158">
        <f t="shared" ref="J70" si="61">H70/E70</f>
        <v>8.7629999999999999</v>
      </c>
      <c r="K70" s="158">
        <f t="shared" ref="K70" si="62">H70/F70</f>
        <v>0.996</v>
      </c>
      <c r="L70" s="159">
        <f t="shared" ref="L70" si="63">H70-D70</f>
        <v>-208834.8</v>
      </c>
      <c r="M70" s="158">
        <f t="shared" ref="M70" si="64">H70/D70</f>
        <v>0.30599999999999999</v>
      </c>
      <c r="N70" s="194">
        <f t="shared" ref="N70" si="65">H70-G70</f>
        <v>77872.600000000006</v>
      </c>
    </row>
    <row r="71" spans="1:15" s="21" customFormat="1" ht="202.5">
      <c r="A71" s="95" t="s">
        <v>258</v>
      </c>
      <c r="B71" s="129" t="s">
        <v>262</v>
      </c>
      <c r="C71" s="120">
        <v>22597</v>
      </c>
      <c r="D71" s="120">
        <v>25541.9</v>
      </c>
      <c r="E71" s="30">
        <v>10075.200000000001</v>
      </c>
      <c r="F71" s="30">
        <v>15555.5</v>
      </c>
      <c r="G71" s="30">
        <v>13806</v>
      </c>
      <c r="H71" s="30">
        <v>15555.5</v>
      </c>
      <c r="I71" s="141">
        <f t="shared" si="50"/>
        <v>1.7999999999999999E-2</v>
      </c>
      <c r="J71" s="158">
        <f t="shared" ref="J71" si="66">H71/E71</f>
        <v>1.544</v>
      </c>
      <c r="K71" s="199">
        <f t="shared" si="8"/>
        <v>1</v>
      </c>
      <c r="L71" s="195">
        <f t="shared" si="53"/>
        <v>-9986.4</v>
      </c>
      <c r="M71" s="199">
        <f t="shared" si="51"/>
        <v>0.60899999999999999</v>
      </c>
      <c r="N71" s="190">
        <f t="shared" si="52"/>
        <v>1749.5</v>
      </c>
    </row>
    <row r="72" spans="1:15" s="21" customFormat="1" ht="67.5" hidden="1" customHeight="1">
      <c r="A72" s="95" t="s">
        <v>229</v>
      </c>
      <c r="B72" s="129" t="s">
        <v>228</v>
      </c>
      <c r="C72" s="120">
        <v>0</v>
      </c>
      <c r="D72" s="120">
        <v>0</v>
      </c>
      <c r="E72" s="30">
        <v>425</v>
      </c>
      <c r="F72" s="30">
        <v>0</v>
      </c>
      <c r="G72" s="30">
        <v>0</v>
      </c>
      <c r="H72" s="30">
        <v>0</v>
      </c>
      <c r="I72" s="141">
        <f t="shared" si="50"/>
        <v>0</v>
      </c>
      <c r="J72" s="158">
        <f t="shared" si="43"/>
        <v>0</v>
      </c>
      <c r="K72" s="199" t="e">
        <f t="shared" si="8"/>
        <v>#DIV/0!</v>
      </c>
      <c r="L72" s="195">
        <f t="shared" si="48"/>
        <v>0</v>
      </c>
      <c r="M72" s="199" t="e">
        <f t="shared" si="5"/>
        <v>#DIV/0!</v>
      </c>
      <c r="N72" s="190">
        <f t="shared" si="9"/>
        <v>0</v>
      </c>
    </row>
    <row r="73" spans="1:15" s="21" customFormat="1" ht="108" customHeight="1">
      <c r="A73" s="95" t="s">
        <v>293</v>
      </c>
      <c r="B73" s="248" t="s">
        <v>349</v>
      </c>
      <c r="C73" s="120">
        <v>273611</v>
      </c>
      <c r="D73" s="120">
        <v>273611</v>
      </c>
      <c r="E73" s="30"/>
      <c r="F73" s="30">
        <v>75128.600000000006</v>
      </c>
      <c r="G73" s="30">
        <v>0</v>
      </c>
      <c r="H73" s="30">
        <v>75128.600000000006</v>
      </c>
      <c r="I73" s="141">
        <f t="shared" ref="I73" si="67">H73/Всего_доходов_2003</f>
        <v>8.7999999999999995E-2</v>
      </c>
      <c r="J73" s="158" t="e">
        <f t="shared" si="43"/>
        <v>#DIV/0!</v>
      </c>
      <c r="K73" s="199">
        <f t="shared" si="8"/>
        <v>1</v>
      </c>
      <c r="L73" s="195">
        <f t="shared" si="48"/>
        <v>-198482.4</v>
      </c>
      <c r="M73" s="199">
        <f t="shared" si="5"/>
        <v>0.27500000000000002</v>
      </c>
      <c r="N73" s="190">
        <f t="shared" si="9"/>
        <v>75128.600000000006</v>
      </c>
    </row>
    <row r="74" spans="1:15" s="21" customFormat="1" ht="47.25" customHeight="1">
      <c r="A74" s="254" t="s">
        <v>334</v>
      </c>
      <c r="B74" s="250" t="s">
        <v>312</v>
      </c>
      <c r="C74" s="247">
        <v>0</v>
      </c>
      <c r="D74" s="120">
        <v>1324.5</v>
      </c>
      <c r="E74" s="30"/>
      <c r="F74" s="30">
        <v>1324.5</v>
      </c>
      <c r="G74" s="30">
        <v>330</v>
      </c>
      <c r="H74" s="30">
        <v>1324.5</v>
      </c>
      <c r="I74" s="141">
        <f t="shared" ref="I74:I75" si="68">H74/Всего_доходов_2003</f>
        <v>2E-3</v>
      </c>
      <c r="J74" s="158" t="e">
        <f t="shared" ref="J74:J75" si="69">H74/E74</f>
        <v>#DIV/0!</v>
      </c>
      <c r="K74" s="199">
        <f t="shared" si="8"/>
        <v>1</v>
      </c>
      <c r="L74" s="195">
        <f t="shared" ref="L74:L75" si="70">H74-D74</f>
        <v>0</v>
      </c>
      <c r="M74" s="199">
        <f t="shared" ref="M74:M83" si="71">H74/D74</f>
        <v>1</v>
      </c>
      <c r="N74" s="190">
        <f t="shared" ref="N74:N75" si="72">H74-G74</f>
        <v>994.5</v>
      </c>
    </row>
    <row r="75" spans="1:15" s="21" customFormat="1" ht="87" customHeight="1">
      <c r="A75" s="254" t="s">
        <v>335</v>
      </c>
      <c r="B75" s="259" t="s">
        <v>333</v>
      </c>
      <c r="C75" s="247">
        <v>0</v>
      </c>
      <c r="D75" s="120">
        <v>366</v>
      </c>
      <c r="E75" s="30"/>
      <c r="F75" s="30">
        <v>366</v>
      </c>
      <c r="G75" s="30">
        <v>0</v>
      </c>
      <c r="H75" s="30">
        <v>0</v>
      </c>
      <c r="I75" s="141">
        <f t="shared" si="68"/>
        <v>0</v>
      </c>
      <c r="J75" s="158" t="e">
        <f t="shared" si="69"/>
        <v>#DIV/0!</v>
      </c>
      <c r="K75" s="199">
        <f t="shared" si="8"/>
        <v>0</v>
      </c>
      <c r="L75" s="195">
        <f t="shared" si="70"/>
        <v>-366</v>
      </c>
      <c r="M75" s="199">
        <f t="shared" si="71"/>
        <v>0</v>
      </c>
      <c r="N75" s="190">
        <f t="shared" si="72"/>
        <v>0</v>
      </c>
    </row>
    <row r="76" spans="1:15" s="17" customFormat="1">
      <c r="A76" s="253" t="s">
        <v>202</v>
      </c>
      <c r="B76" s="249" t="s">
        <v>201</v>
      </c>
      <c r="C76" s="105">
        <f>C77+C78</f>
        <v>0</v>
      </c>
      <c r="D76" s="105">
        <f t="shared" ref="D76:H76" si="73">D77+D78</f>
        <v>400</v>
      </c>
      <c r="E76" s="105">
        <f t="shared" si="73"/>
        <v>1047.3</v>
      </c>
      <c r="F76" s="105">
        <f t="shared" si="73"/>
        <v>400</v>
      </c>
      <c r="G76" s="105">
        <f t="shared" ref="G76" si="74">G77+G78</f>
        <v>-147.4</v>
      </c>
      <c r="H76" s="105">
        <f t="shared" si="73"/>
        <v>400</v>
      </c>
      <c r="I76" s="105">
        <f t="shared" si="50"/>
        <v>0</v>
      </c>
      <c r="J76" s="158">
        <f t="shared" si="43"/>
        <v>0.38200000000000001</v>
      </c>
      <c r="K76" s="158">
        <f t="shared" si="8"/>
        <v>1</v>
      </c>
      <c r="L76" s="159">
        <f t="shared" si="48"/>
        <v>0</v>
      </c>
      <c r="M76" s="158">
        <f t="shared" si="71"/>
        <v>1</v>
      </c>
      <c r="N76" s="194">
        <f t="shared" si="9"/>
        <v>547.4</v>
      </c>
      <c r="O76" s="19"/>
    </row>
    <row r="77" spans="1:15" s="17" customFormat="1" ht="27">
      <c r="A77" s="184" t="s">
        <v>230</v>
      </c>
      <c r="B77" s="185" t="s">
        <v>200</v>
      </c>
      <c r="C77" s="120">
        <v>0</v>
      </c>
      <c r="D77" s="120">
        <v>400</v>
      </c>
      <c r="E77" s="30">
        <v>900</v>
      </c>
      <c r="F77" s="30">
        <v>400</v>
      </c>
      <c r="G77" s="120">
        <v>-147.4</v>
      </c>
      <c r="H77" s="120">
        <v>400</v>
      </c>
      <c r="I77" s="163">
        <f t="shared" si="50"/>
        <v>0</v>
      </c>
      <c r="J77" s="158">
        <f t="shared" si="43"/>
        <v>0.44400000000000001</v>
      </c>
      <c r="K77" s="199">
        <f t="shared" si="8"/>
        <v>1</v>
      </c>
      <c r="L77" s="195">
        <f t="shared" si="48"/>
        <v>0</v>
      </c>
      <c r="M77" s="199">
        <f t="shared" si="71"/>
        <v>1</v>
      </c>
      <c r="N77" s="194">
        <f t="shared" si="9"/>
        <v>547.4</v>
      </c>
      <c r="O77" s="19"/>
    </row>
    <row r="78" spans="1:15" s="17" customFormat="1" ht="27" hidden="1">
      <c r="A78" s="184" t="s">
        <v>203</v>
      </c>
      <c r="B78" s="185" t="s">
        <v>200</v>
      </c>
      <c r="C78" s="120">
        <v>0</v>
      </c>
      <c r="D78" s="120">
        <v>0</v>
      </c>
      <c r="E78" s="30">
        <v>147.30000000000001</v>
      </c>
      <c r="F78" s="30">
        <v>0</v>
      </c>
      <c r="G78" s="120">
        <v>0</v>
      </c>
      <c r="H78" s="120">
        <v>0</v>
      </c>
      <c r="I78" s="163">
        <f t="shared" si="50"/>
        <v>0</v>
      </c>
      <c r="J78" s="158">
        <f t="shared" si="43"/>
        <v>0</v>
      </c>
      <c r="K78" s="199" t="e">
        <f t="shared" si="8"/>
        <v>#DIV/0!</v>
      </c>
      <c r="L78" s="195">
        <f t="shared" si="48"/>
        <v>0</v>
      </c>
      <c r="M78" s="199" t="e">
        <f t="shared" si="71"/>
        <v>#DIV/0!</v>
      </c>
      <c r="N78" s="194">
        <f t="shared" si="9"/>
        <v>0</v>
      </c>
      <c r="O78" s="19"/>
    </row>
    <row r="79" spans="1:15" s="17" customFormat="1" ht="54">
      <c r="A79" s="50" t="s">
        <v>299</v>
      </c>
      <c r="B79" s="45" t="s">
        <v>298</v>
      </c>
      <c r="C79" s="105">
        <f>C80</f>
        <v>0</v>
      </c>
      <c r="D79" s="105">
        <f t="shared" ref="D79:H82" si="75">D80</f>
        <v>327.39999999999998</v>
      </c>
      <c r="E79" s="105">
        <f t="shared" si="75"/>
        <v>0</v>
      </c>
      <c r="F79" s="105">
        <f t="shared" si="75"/>
        <v>327.39999999999998</v>
      </c>
      <c r="G79" s="105">
        <f>G80+G81</f>
        <v>10.4</v>
      </c>
      <c r="H79" s="105">
        <f t="shared" si="75"/>
        <v>327.39999999999998</v>
      </c>
      <c r="I79" s="169">
        <f>H79/Всего_доходов_2003</f>
        <v>0</v>
      </c>
      <c r="J79" s="158">
        <v>0</v>
      </c>
      <c r="K79" s="199">
        <f t="shared" si="8"/>
        <v>1</v>
      </c>
      <c r="L79" s="180">
        <f t="shared" si="48"/>
        <v>0</v>
      </c>
      <c r="M79" s="199">
        <f t="shared" si="71"/>
        <v>1</v>
      </c>
      <c r="N79" s="194">
        <f t="shared" si="9"/>
        <v>317</v>
      </c>
      <c r="O79" s="19"/>
    </row>
    <row r="80" spans="1:15" s="17" customFormat="1" ht="30.75" customHeight="1">
      <c r="A80" s="48" t="s">
        <v>294</v>
      </c>
      <c r="B80" s="49" t="s">
        <v>295</v>
      </c>
      <c r="C80" s="120">
        <v>0</v>
      </c>
      <c r="D80" s="120">
        <v>327.39999999999998</v>
      </c>
      <c r="E80" s="30">
        <v>0</v>
      </c>
      <c r="F80" s="30">
        <v>327.39999999999998</v>
      </c>
      <c r="G80" s="120">
        <v>0</v>
      </c>
      <c r="H80" s="120">
        <v>327.39999999999998</v>
      </c>
      <c r="I80" s="163">
        <f>H80/Всего_доходов_2003</f>
        <v>0</v>
      </c>
      <c r="J80" s="158">
        <v>0</v>
      </c>
      <c r="K80" s="199">
        <f t="shared" si="8"/>
        <v>1</v>
      </c>
      <c r="L80" s="179">
        <f t="shared" si="48"/>
        <v>0</v>
      </c>
      <c r="M80" s="199">
        <f t="shared" si="71"/>
        <v>1</v>
      </c>
      <c r="N80" s="190">
        <f t="shared" si="9"/>
        <v>327.39999999999998</v>
      </c>
      <c r="O80" s="19"/>
    </row>
    <row r="81" spans="1:15" s="17" customFormat="1" ht="59.25" customHeight="1">
      <c r="A81" s="48" t="s">
        <v>341</v>
      </c>
      <c r="B81" s="49" t="s">
        <v>343</v>
      </c>
      <c r="C81" s="120">
        <v>0</v>
      </c>
      <c r="D81" s="120">
        <v>0</v>
      </c>
      <c r="E81" s="30"/>
      <c r="F81" s="30">
        <v>0</v>
      </c>
      <c r="G81" s="120">
        <v>10.4</v>
      </c>
      <c r="H81" s="120">
        <v>0</v>
      </c>
      <c r="I81" s="163">
        <v>0</v>
      </c>
      <c r="J81" s="158"/>
      <c r="K81" s="199">
        <v>0</v>
      </c>
      <c r="L81" s="195">
        <f t="shared" si="48"/>
        <v>0</v>
      </c>
      <c r="M81" s="199">
        <v>0</v>
      </c>
      <c r="N81" s="190">
        <f t="shared" si="9"/>
        <v>-10.4</v>
      </c>
      <c r="O81" s="19"/>
    </row>
    <row r="82" spans="1:15" s="17" customFormat="1" ht="48" customHeight="1">
      <c r="A82" s="239" t="s">
        <v>300</v>
      </c>
      <c r="B82" s="45" t="s">
        <v>301</v>
      </c>
      <c r="C82" s="105">
        <f>C83</f>
        <v>0</v>
      </c>
      <c r="D82" s="105">
        <f t="shared" si="75"/>
        <v>-327.39999999999998</v>
      </c>
      <c r="E82" s="105">
        <f t="shared" si="75"/>
        <v>0</v>
      </c>
      <c r="F82" s="105">
        <f t="shared" si="75"/>
        <v>-327.39999999999998</v>
      </c>
      <c r="G82" s="105">
        <f t="shared" si="75"/>
        <v>0</v>
      </c>
      <c r="H82" s="105">
        <f t="shared" si="75"/>
        <v>-327.39999999999998</v>
      </c>
      <c r="I82" s="169">
        <f>H82/Всего_доходов_2003</f>
        <v>0</v>
      </c>
      <c r="J82" s="158">
        <v>0</v>
      </c>
      <c r="K82" s="158">
        <f t="shared" ref="K82" si="76">H82/F82</f>
        <v>1</v>
      </c>
      <c r="L82" s="180">
        <f t="shared" ref="L82" si="77">H82-D82</f>
        <v>0</v>
      </c>
      <c r="M82" s="199">
        <f t="shared" si="71"/>
        <v>1</v>
      </c>
      <c r="N82" s="194">
        <f t="shared" ref="N82" si="78">H82-G82</f>
        <v>-327.39999999999998</v>
      </c>
      <c r="O82" s="19"/>
    </row>
    <row r="83" spans="1:15" s="17" customFormat="1" ht="67.5" customHeight="1">
      <c r="A83" s="95" t="s">
        <v>297</v>
      </c>
      <c r="B83" s="234" t="s">
        <v>296</v>
      </c>
      <c r="C83" s="120">
        <v>0</v>
      </c>
      <c r="D83" s="120">
        <v>-327.39999999999998</v>
      </c>
      <c r="E83" s="30">
        <v>0</v>
      </c>
      <c r="F83" s="30">
        <v>-327.39999999999998</v>
      </c>
      <c r="G83" s="120">
        <v>0</v>
      </c>
      <c r="H83" s="120">
        <v>-327.39999999999998</v>
      </c>
      <c r="I83" s="163">
        <f>H83/Всего_доходов_2003</f>
        <v>0</v>
      </c>
      <c r="J83" s="158">
        <v>0</v>
      </c>
      <c r="K83" s="199">
        <f t="shared" ref="K83" si="79">H83/F83</f>
        <v>1</v>
      </c>
      <c r="L83" s="179">
        <f t="shared" ref="L83" si="80">H83-D83</f>
        <v>0</v>
      </c>
      <c r="M83" s="199">
        <f t="shared" si="71"/>
        <v>1</v>
      </c>
      <c r="N83" s="190">
        <f t="shared" ref="N83" si="81">H83-G83</f>
        <v>-327.39999999999998</v>
      </c>
      <c r="O83" s="19"/>
    </row>
    <row r="84" spans="1:15" s="22" customFormat="1">
      <c r="A84" s="240"/>
      <c r="B84" s="166" t="s">
        <v>6</v>
      </c>
      <c r="C84" s="167">
        <f t="shared" ref="C84:H84" si="82">C6+C54</f>
        <v>1304577</v>
      </c>
      <c r="D84" s="167">
        <f t="shared" si="82"/>
        <v>1420722.2</v>
      </c>
      <c r="E84" s="167">
        <f t="shared" si="82"/>
        <v>661983.80000000005</v>
      </c>
      <c r="F84" s="167">
        <f t="shared" si="82"/>
        <v>860517</v>
      </c>
      <c r="G84" s="167">
        <f t="shared" si="82"/>
        <v>704268.3</v>
      </c>
      <c r="H84" s="167">
        <f t="shared" si="82"/>
        <v>857614.7</v>
      </c>
      <c r="I84" s="67">
        <f t="shared" si="50"/>
        <v>1</v>
      </c>
      <c r="J84" s="158">
        <f t="shared" si="43"/>
        <v>1.296</v>
      </c>
      <c r="K84" s="158">
        <f t="shared" si="8"/>
        <v>0.997</v>
      </c>
      <c r="L84" s="159">
        <f t="shared" si="48"/>
        <v>-563107.5</v>
      </c>
      <c r="M84" s="158">
        <f>H84/D84</f>
        <v>0.60399999999999998</v>
      </c>
      <c r="N84" s="194">
        <f t="shared" si="9"/>
        <v>153346.4</v>
      </c>
      <c r="O84" s="186"/>
    </row>
    <row r="85" spans="1:15" s="11" customFormat="1">
      <c r="A85" s="34"/>
      <c r="B85" s="4"/>
      <c r="C85" s="181"/>
      <c r="D85" s="178"/>
      <c r="E85" s="178"/>
      <c r="F85" s="178"/>
      <c r="G85" s="162"/>
      <c r="H85" s="162"/>
      <c r="I85" s="142"/>
      <c r="J85" s="158"/>
      <c r="K85" s="158"/>
      <c r="L85" s="196"/>
      <c r="M85" s="158"/>
      <c r="N85" s="197"/>
    </row>
    <row r="86" spans="1:15" ht="16.5">
      <c r="A86" s="15" t="s">
        <v>10</v>
      </c>
      <c r="B86" s="221" t="s">
        <v>7</v>
      </c>
      <c r="C86" s="4"/>
      <c r="D86" s="178"/>
      <c r="E86" s="178"/>
      <c r="F86" s="178"/>
      <c r="G86" s="100"/>
      <c r="H86" s="100"/>
      <c r="I86" s="143"/>
      <c r="J86" s="158"/>
      <c r="K86" s="158"/>
      <c r="L86" s="188"/>
      <c r="M86" s="158"/>
      <c r="N86" s="198"/>
    </row>
    <row r="87" spans="1:15" s="22" customFormat="1">
      <c r="A87" s="65" t="s">
        <v>21</v>
      </c>
      <c r="B87" s="168" t="s">
        <v>25</v>
      </c>
      <c r="C87" s="66">
        <f>C88+C89+C90+C93+C96+C97</f>
        <v>15840.5</v>
      </c>
      <c r="D87" s="66">
        <f>D88+D89+D90+D93+D96+D97</f>
        <v>18907.8</v>
      </c>
      <c r="E87" s="66">
        <f t="shared" ref="E87" si="83">E88+E89+E90+E93+E96+E97</f>
        <v>101188.6</v>
      </c>
      <c r="F87" s="66">
        <f>F88+F89+F90+F97+F96</f>
        <v>13566.2</v>
      </c>
      <c r="G87" s="66">
        <f>G88+G89+G90+G97+G96</f>
        <v>10743.5</v>
      </c>
      <c r="H87" s="66">
        <f>H88+H89+H90+H97+H96</f>
        <v>13566.2</v>
      </c>
      <c r="I87" s="67">
        <f>H87/H239</f>
        <v>1.4999999999999999E-2</v>
      </c>
      <c r="J87" s="158">
        <f>H87/E87</f>
        <v>0.13400000000000001</v>
      </c>
      <c r="K87" s="158">
        <f t="shared" si="8"/>
        <v>1</v>
      </c>
      <c r="L87" s="159">
        <f>H87-D87</f>
        <v>-5341.6</v>
      </c>
      <c r="M87" s="158">
        <f t="shared" si="5"/>
        <v>0.71699999999999997</v>
      </c>
      <c r="N87" s="160">
        <f>H87-G87</f>
        <v>2822.7</v>
      </c>
    </row>
    <row r="88" spans="1:15" ht="27">
      <c r="A88" s="14" t="s">
        <v>45</v>
      </c>
      <c r="B88" s="8" t="s">
        <v>53</v>
      </c>
      <c r="C88" s="138">
        <v>2057</v>
      </c>
      <c r="D88" s="138">
        <v>2057</v>
      </c>
      <c r="E88" s="138">
        <v>1270.4000000000001</v>
      </c>
      <c r="F88" s="138">
        <v>1610.2</v>
      </c>
      <c r="G88" s="138">
        <v>1556.2</v>
      </c>
      <c r="H88" s="138">
        <v>1610.2</v>
      </c>
      <c r="I88" s="149">
        <f>H88/$H$239</f>
        <v>2E-3</v>
      </c>
      <c r="J88" s="158">
        <f>H88/E88</f>
        <v>1.2669999999999999</v>
      </c>
      <c r="K88" s="199">
        <f t="shared" si="8"/>
        <v>1</v>
      </c>
      <c r="L88" s="188">
        <f>H88-D88</f>
        <v>-446.8</v>
      </c>
      <c r="M88" s="189">
        <f>H88/D88</f>
        <v>0.78300000000000003</v>
      </c>
      <c r="N88" s="190">
        <f>H88-G88</f>
        <v>54</v>
      </c>
    </row>
    <row r="89" spans="1:15" ht="40.5">
      <c r="A89" s="14" t="s">
        <v>46</v>
      </c>
      <c r="B89" s="8" t="s">
        <v>109</v>
      </c>
      <c r="C89" s="138">
        <v>2480.3000000000002</v>
      </c>
      <c r="D89" s="138">
        <v>2480.3000000000002</v>
      </c>
      <c r="E89" s="138">
        <f>2637.3+0.1</f>
        <v>2637.4</v>
      </c>
      <c r="F89" s="138">
        <v>1701.4</v>
      </c>
      <c r="G89" s="138">
        <v>1593.1</v>
      </c>
      <c r="H89" s="138">
        <v>1701.4</v>
      </c>
      <c r="I89" s="149">
        <f>H89/$H$239</f>
        <v>2E-3</v>
      </c>
      <c r="J89" s="158">
        <f>H89/E89</f>
        <v>0.64500000000000002</v>
      </c>
      <c r="K89" s="199">
        <f t="shared" si="8"/>
        <v>1</v>
      </c>
      <c r="L89" s="188">
        <f>H89-D89</f>
        <v>-778.9</v>
      </c>
      <c r="M89" s="189">
        <f>H89/D89</f>
        <v>0.68600000000000005</v>
      </c>
      <c r="N89" s="190">
        <f t="shared" ref="N89:N101" si="84">H89-G89</f>
        <v>108.3</v>
      </c>
    </row>
    <row r="90" spans="1:15" ht="54">
      <c r="A90" s="14" t="s">
        <v>130</v>
      </c>
      <c r="B90" s="8" t="s">
        <v>110</v>
      </c>
      <c r="C90" s="138">
        <v>5122.8999999999996</v>
      </c>
      <c r="D90" s="138">
        <v>5122.8999999999996</v>
      </c>
      <c r="E90" s="138">
        <f t="shared" ref="E90" si="85">E92</f>
        <v>2879.9</v>
      </c>
      <c r="F90" s="138">
        <v>4199.2</v>
      </c>
      <c r="G90" s="138">
        <v>3455.9</v>
      </c>
      <c r="H90" s="138">
        <v>4199.2</v>
      </c>
      <c r="I90" s="149">
        <f>H90/$H$239</f>
        <v>5.0000000000000001E-3</v>
      </c>
      <c r="J90" s="158">
        <f>H90/E90</f>
        <v>1.458</v>
      </c>
      <c r="K90" s="199">
        <f t="shared" si="8"/>
        <v>1</v>
      </c>
      <c r="L90" s="188">
        <f>H90-D90</f>
        <v>-923.7</v>
      </c>
      <c r="M90" s="189">
        <f>H90/D90</f>
        <v>0.82</v>
      </c>
      <c r="N90" s="190">
        <f t="shared" si="84"/>
        <v>743.3</v>
      </c>
    </row>
    <row r="91" spans="1:15">
      <c r="A91" s="14"/>
      <c r="B91" s="8" t="s">
        <v>27</v>
      </c>
      <c r="C91" s="138"/>
      <c r="D91" s="138"/>
      <c r="E91" s="138"/>
      <c r="F91" s="138"/>
      <c r="G91" s="138"/>
      <c r="H91" s="138"/>
      <c r="I91" s="149"/>
      <c r="J91" s="158"/>
      <c r="K91" s="158"/>
      <c r="L91" s="188"/>
      <c r="M91" s="189"/>
      <c r="N91" s="190"/>
    </row>
    <row r="92" spans="1:15" s="33" customFormat="1" ht="40.5">
      <c r="A92" s="171" t="s">
        <v>190</v>
      </c>
      <c r="B92" s="29" t="s">
        <v>176</v>
      </c>
      <c r="C92" s="139">
        <v>5122.8999999999996</v>
      </c>
      <c r="D92" s="139">
        <v>5122.8999999999996</v>
      </c>
      <c r="E92" s="139">
        <v>2879.9</v>
      </c>
      <c r="F92" s="139">
        <v>4199.2</v>
      </c>
      <c r="G92" s="139">
        <v>3455.9</v>
      </c>
      <c r="H92" s="139">
        <v>4199.2</v>
      </c>
      <c r="I92" s="163">
        <f t="shared" ref="I92:I97" si="86">H92/$H$239</f>
        <v>5.0000000000000001E-3</v>
      </c>
      <c r="J92" s="158">
        <f>H92/E92</f>
        <v>1.458</v>
      </c>
      <c r="K92" s="199">
        <f t="shared" ref="K92:K145" si="87">H92/F92</f>
        <v>1</v>
      </c>
      <c r="L92" s="195">
        <f>H92-D92</f>
        <v>-923.7</v>
      </c>
      <c r="M92" s="199">
        <f>H92/D92</f>
        <v>0.82</v>
      </c>
      <c r="N92" s="190">
        <f t="shared" si="84"/>
        <v>743.3</v>
      </c>
    </row>
    <row r="93" spans="1:15" ht="40.5" hidden="1" customHeight="1">
      <c r="A93" s="14" t="s">
        <v>231</v>
      </c>
      <c r="B93" s="8" t="s">
        <v>232</v>
      </c>
      <c r="C93" s="138">
        <v>0</v>
      </c>
      <c r="D93" s="138">
        <v>0</v>
      </c>
      <c r="E93" s="138">
        <v>0</v>
      </c>
      <c r="F93" s="138">
        <v>0</v>
      </c>
      <c r="G93" s="138">
        <v>0</v>
      </c>
      <c r="H93" s="138">
        <v>0</v>
      </c>
      <c r="I93" s="163">
        <f t="shared" si="86"/>
        <v>0</v>
      </c>
      <c r="J93" s="158">
        <v>0</v>
      </c>
      <c r="K93" s="199" t="e">
        <f t="shared" si="87"/>
        <v>#DIV/0!</v>
      </c>
      <c r="L93" s="195">
        <f t="shared" ref="L93:L97" si="88">H93-D93</f>
        <v>0</v>
      </c>
      <c r="M93" s="199">
        <v>0</v>
      </c>
      <c r="N93" s="190">
        <f t="shared" si="84"/>
        <v>0</v>
      </c>
    </row>
    <row r="94" spans="1:15" ht="13.5" hidden="1" customHeight="1">
      <c r="A94" s="14"/>
      <c r="B94" s="8" t="s">
        <v>27</v>
      </c>
      <c r="C94" s="138"/>
      <c r="D94" s="131"/>
      <c r="E94" s="138"/>
      <c r="F94" s="131"/>
      <c r="G94" s="131"/>
      <c r="H94" s="131"/>
      <c r="I94" s="163">
        <f t="shared" si="86"/>
        <v>0</v>
      </c>
      <c r="J94" s="158" t="e">
        <f>H94/E94</f>
        <v>#DIV/0!</v>
      </c>
      <c r="K94" s="199" t="e">
        <f t="shared" si="87"/>
        <v>#DIV/0!</v>
      </c>
      <c r="L94" s="195">
        <f t="shared" si="88"/>
        <v>0</v>
      </c>
      <c r="M94" s="199" t="e">
        <f>H94/D94</f>
        <v>#DIV/0!</v>
      </c>
      <c r="N94" s="190">
        <f t="shared" si="84"/>
        <v>0</v>
      </c>
    </row>
    <row r="95" spans="1:15" s="33" customFormat="1" ht="54" hidden="1" customHeight="1">
      <c r="A95" s="14"/>
      <c r="B95" s="29" t="s">
        <v>127</v>
      </c>
      <c r="C95" s="139">
        <v>0</v>
      </c>
      <c r="D95" s="133">
        <v>0</v>
      </c>
      <c r="E95" s="139"/>
      <c r="F95" s="133"/>
      <c r="G95" s="133"/>
      <c r="H95" s="133"/>
      <c r="I95" s="163">
        <f t="shared" si="86"/>
        <v>0</v>
      </c>
      <c r="J95" s="158" t="e">
        <f>H95/E95</f>
        <v>#DIV/0!</v>
      </c>
      <c r="K95" s="199" t="e">
        <f t="shared" si="87"/>
        <v>#DIV/0!</v>
      </c>
      <c r="L95" s="195">
        <f t="shared" si="88"/>
        <v>0</v>
      </c>
      <c r="M95" s="199" t="e">
        <f>H95/D95</f>
        <v>#DIV/0!</v>
      </c>
      <c r="N95" s="190">
        <f t="shared" si="84"/>
        <v>0</v>
      </c>
    </row>
    <row r="96" spans="1:15" ht="13.5" hidden="1" customHeight="1">
      <c r="A96" s="14" t="s">
        <v>68</v>
      </c>
      <c r="B96" s="8" t="s">
        <v>23</v>
      </c>
      <c r="C96" s="138">
        <v>0</v>
      </c>
      <c r="D96" s="131">
        <v>0</v>
      </c>
      <c r="E96" s="138">
        <v>0</v>
      </c>
      <c r="F96" s="131">
        <v>0</v>
      </c>
      <c r="G96" s="131">
        <v>0</v>
      </c>
      <c r="H96" s="131">
        <v>0</v>
      </c>
      <c r="I96" s="149">
        <f t="shared" si="86"/>
        <v>0</v>
      </c>
      <c r="J96" s="158">
        <v>0</v>
      </c>
      <c r="K96" s="199" t="e">
        <f t="shared" si="87"/>
        <v>#DIV/0!</v>
      </c>
      <c r="L96" s="188">
        <f t="shared" si="88"/>
        <v>0</v>
      </c>
      <c r="M96" s="189">
        <v>0</v>
      </c>
      <c r="N96" s="190">
        <f t="shared" si="84"/>
        <v>0</v>
      </c>
    </row>
    <row r="97" spans="1:14" s="1" customFormat="1">
      <c r="A97" s="14" t="s">
        <v>72</v>
      </c>
      <c r="B97" s="8" t="s">
        <v>111</v>
      </c>
      <c r="C97" s="138">
        <v>6180.3</v>
      </c>
      <c r="D97" s="138">
        <v>9247.6</v>
      </c>
      <c r="E97" s="138">
        <v>94400.9</v>
      </c>
      <c r="F97" s="138">
        <v>6055.4</v>
      </c>
      <c r="G97" s="138">
        <v>4138.3</v>
      </c>
      <c r="H97" s="138">
        <v>6055.4</v>
      </c>
      <c r="I97" s="149">
        <f t="shared" si="86"/>
        <v>7.0000000000000001E-3</v>
      </c>
      <c r="J97" s="158">
        <f>H97/E97</f>
        <v>6.4000000000000001E-2</v>
      </c>
      <c r="K97" s="199">
        <f t="shared" si="87"/>
        <v>1</v>
      </c>
      <c r="L97" s="188">
        <f t="shared" si="88"/>
        <v>-3192.2</v>
      </c>
      <c r="M97" s="189">
        <f>H97/D97</f>
        <v>0.65500000000000003</v>
      </c>
      <c r="N97" s="190">
        <f t="shared" si="84"/>
        <v>1917.1</v>
      </c>
    </row>
    <row r="98" spans="1:14" s="1" customFormat="1">
      <c r="A98" s="14"/>
      <c r="B98" s="217" t="s">
        <v>116</v>
      </c>
      <c r="C98" s="138"/>
      <c r="D98" s="138"/>
      <c r="E98" s="138"/>
      <c r="F98" s="138"/>
      <c r="G98" s="138"/>
      <c r="H98" s="138"/>
      <c r="I98" s="149"/>
      <c r="J98" s="158"/>
      <c r="K98" s="158"/>
      <c r="L98" s="188"/>
      <c r="M98" s="189"/>
      <c r="N98" s="190">
        <f t="shared" si="84"/>
        <v>0</v>
      </c>
    </row>
    <row r="99" spans="1:14">
      <c r="A99" s="14"/>
      <c r="B99" s="7" t="s">
        <v>95</v>
      </c>
      <c r="C99" s="138">
        <v>4149.3</v>
      </c>
      <c r="D99" s="5">
        <v>4149.3</v>
      </c>
      <c r="E99" s="5">
        <v>3787.1</v>
      </c>
      <c r="F99" s="5">
        <v>3190.1</v>
      </c>
      <c r="G99" s="5">
        <v>3032</v>
      </c>
      <c r="H99" s="5">
        <v>3190.1</v>
      </c>
      <c r="I99" s="149">
        <f>H99/$H$239</f>
        <v>4.0000000000000001E-3</v>
      </c>
      <c r="J99" s="158">
        <f>H99/E99</f>
        <v>0.84199999999999997</v>
      </c>
      <c r="K99" s="199">
        <f t="shared" si="87"/>
        <v>1</v>
      </c>
      <c r="L99" s="188">
        <f>H99-D99</f>
        <v>-959.2</v>
      </c>
      <c r="M99" s="189">
        <f>H99/D99</f>
        <v>0.76900000000000002</v>
      </c>
      <c r="N99" s="190">
        <f t="shared" si="84"/>
        <v>158.1</v>
      </c>
    </row>
    <row r="100" spans="1:14" ht="13.5" hidden="1" customHeight="1">
      <c r="A100" s="14"/>
      <c r="B100" s="7" t="s">
        <v>98</v>
      </c>
      <c r="C100" s="138">
        <v>0</v>
      </c>
      <c r="D100" s="5">
        <v>0</v>
      </c>
      <c r="E100" s="5"/>
      <c r="F100" s="5"/>
      <c r="G100" s="5"/>
      <c r="H100" s="5"/>
      <c r="I100" s="149">
        <f>H100/$H$239</f>
        <v>0</v>
      </c>
      <c r="J100" s="158" t="e">
        <f>H100/E100</f>
        <v>#DIV/0!</v>
      </c>
      <c r="K100" s="158" t="e">
        <f t="shared" si="87"/>
        <v>#DIV/0!</v>
      </c>
      <c r="L100" s="188">
        <f>H100-D100</f>
        <v>0</v>
      </c>
      <c r="M100" s="189" t="str">
        <f>IF(H100=0,"0,0%", H100/D100)</f>
        <v>0,0%</v>
      </c>
      <c r="N100" s="190">
        <f t="shared" si="84"/>
        <v>0</v>
      </c>
    </row>
    <row r="101" spans="1:14">
      <c r="A101" s="14"/>
      <c r="B101" s="16" t="s">
        <v>133</v>
      </c>
      <c r="C101" s="138">
        <v>9040</v>
      </c>
      <c r="D101" s="138">
        <v>10211.6</v>
      </c>
      <c r="E101" s="138">
        <v>4280.8</v>
      </c>
      <c r="F101" s="138">
        <v>6335.2</v>
      </c>
      <c r="G101" s="138">
        <v>7417.8</v>
      </c>
      <c r="H101" s="138">
        <v>6335.2</v>
      </c>
      <c r="I101" s="149">
        <f>H101/$H$239</f>
        <v>7.0000000000000001E-3</v>
      </c>
      <c r="J101" s="158">
        <f>H101/E101</f>
        <v>1.48</v>
      </c>
      <c r="K101" s="199">
        <f t="shared" si="87"/>
        <v>1</v>
      </c>
      <c r="L101" s="188">
        <f>H101-D101</f>
        <v>-3876.4</v>
      </c>
      <c r="M101" s="189">
        <f>H101/D101</f>
        <v>0.62</v>
      </c>
      <c r="N101" s="190">
        <f t="shared" si="84"/>
        <v>-1082.5999999999999</v>
      </c>
    </row>
    <row r="102" spans="1:14" s="33" customFormat="1" ht="13.5" hidden="1" customHeight="1">
      <c r="A102" s="90"/>
      <c r="B102" s="110" t="s">
        <v>117</v>
      </c>
      <c r="C102" s="97"/>
      <c r="D102" s="144"/>
      <c r="E102" s="144"/>
      <c r="F102" s="139"/>
      <c r="G102" s="139"/>
      <c r="H102" s="139"/>
      <c r="I102" s="149"/>
      <c r="J102" s="158" t="e">
        <f t="shared" ref="J102:J107" si="89">H102/E102</f>
        <v>#DIV/0!</v>
      </c>
      <c r="K102" s="158" t="e">
        <f t="shared" si="87"/>
        <v>#DIV/0!</v>
      </c>
      <c r="L102" s="188"/>
      <c r="M102" s="189"/>
      <c r="N102" s="198"/>
    </row>
    <row r="103" spans="1:14" s="33" customFormat="1" ht="13.5" hidden="1" customHeight="1">
      <c r="A103" s="90"/>
      <c r="B103" s="99" t="s">
        <v>104</v>
      </c>
      <c r="C103" s="97"/>
      <c r="D103" s="144"/>
      <c r="E103" s="144"/>
      <c r="F103" s="139">
        <v>0</v>
      </c>
      <c r="G103" s="139">
        <v>0</v>
      </c>
      <c r="H103" s="139">
        <v>0</v>
      </c>
      <c r="I103" s="149">
        <f>H103/$H$239</f>
        <v>0</v>
      </c>
      <c r="J103" s="158" t="e">
        <f t="shared" si="89"/>
        <v>#DIV/0!</v>
      </c>
      <c r="K103" s="158" t="e">
        <f t="shared" si="87"/>
        <v>#DIV/0!</v>
      </c>
      <c r="L103" s="188">
        <f>H103-D103</f>
        <v>0</v>
      </c>
      <c r="M103" s="189" t="e">
        <f>H103/D103</f>
        <v>#DIV/0!</v>
      </c>
      <c r="N103" s="198" t="e">
        <f>H103-#REF!</f>
        <v>#REF!</v>
      </c>
    </row>
    <row r="104" spans="1:14" s="22" customFormat="1">
      <c r="A104" s="65" t="s">
        <v>24</v>
      </c>
      <c r="B104" s="164" t="s">
        <v>26</v>
      </c>
      <c r="C104" s="165">
        <f>C107+C111+C128+C106+C105</f>
        <v>817569.3</v>
      </c>
      <c r="D104" s="165">
        <f t="shared" ref="D104:G104" si="90">D107+D111+D128+D106+D105</f>
        <v>906263.6</v>
      </c>
      <c r="E104" s="165">
        <f t="shared" si="90"/>
        <v>428854.8</v>
      </c>
      <c r="F104" s="165">
        <f>F107+F111+F128+F106+F105</f>
        <v>567135.4</v>
      </c>
      <c r="G104" s="165">
        <f t="shared" si="90"/>
        <v>424493.9</v>
      </c>
      <c r="H104" s="165">
        <f>H107+H111+H128+H106+H105</f>
        <v>567135.1</v>
      </c>
      <c r="I104" s="67">
        <f>H104/$H$239</f>
        <v>0.64700000000000002</v>
      </c>
      <c r="J104" s="158">
        <f t="shared" si="89"/>
        <v>1.3220000000000001</v>
      </c>
      <c r="K104" s="158">
        <f t="shared" si="87"/>
        <v>1</v>
      </c>
      <c r="L104" s="159">
        <f>H104-D104</f>
        <v>-339128.5</v>
      </c>
      <c r="M104" s="158">
        <f>H104/D104</f>
        <v>0.626</v>
      </c>
      <c r="N104" s="160">
        <f>H104-G104</f>
        <v>142641.20000000001</v>
      </c>
    </row>
    <row r="105" spans="1:14" s="22" customFormat="1" ht="27">
      <c r="A105" s="14" t="s">
        <v>321</v>
      </c>
      <c r="B105" s="222" t="s">
        <v>322</v>
      </c>
      <c r="C105" s="144">
        <v>0</v>
      </c>
      <c r="D105" s="144">
        <v>924.5</v>
      </c>
      <c r="E105" s="144"/>
      <c r="F105" s="144">
        <v>0</v>
      </c>
      <c r="G105" s="144">
        <v>0</v>
      </c>
      <c r="H105" s="144">
        <v>0</v>
      </c>
      <c r="I105" s="141">
        <f>H105/$H$239</f>
        <v>0</v>
      </c>
      <c r="J105" s="199"/>
      <c r="K105" s="199">
        <v>0</v>
      </c>
      <c r="L105" s="195">
        <f>H105-D105</f>
        <v>-924.5</v>
      </c>
      <c r="M105" s="199">
        <f>H105/D105</f>
        <v>0</v>
      </c>
      <c r="N105" s="200">
        <f>H105-G105</f>
        <v>0</v>
      </c>
    </row>
    <row r="106" spans="1:14" s="22" customFormat="1">
      <c r="A106" s="14" t="s">
        <v>240</v>
      </c>
      <c r="B106" s="222" t="s">
        <v>241</v>
      </c>
      <c r="C106" s="144">
        <v>676</v>
      </c>
      <c r="D106" s="144">
        <v>676</v>
      </c>
      <c r="E106" s="144"/>
      <c r="F106" s="144">
        <v>0</v>
      </c>
      <c r="G106" s="144">
        <v>299</v>
      </c>
      <c r="H106" s="144">
        <v>0</v>
      </c>
      <c r="I106" s="141">
        <f>H106/$H$239</f>
        <v>0</v>
      </c>
      <c r="J106" s="199"/>
      <c r="K106" s="199">
        <v>0</v>
      </c>
      <c r="L106" s="195">
        <f>H106-D106</f>
        <v>-676</v>
      </c>
      <c r="M106" s="199">
        <f>H106/D106</f>
        <v>0</v>
      </c>
      <c r="N106" s="200">
        <f>H106-G106</f>
        <v>-299</v>
      </c>
    </row>
    <row r="107" spans="1:14">
      <c r="A107" s="3" t="s">
        <v>47</v>
      </c>
      <c r="B107" s="7" t="s">
        <v>88</v>
      </c>
      <c r="C107" s="5">
        <f>C109</f>
        <v>25000</v>
      </c>
      <c r="D107" s="100">
        <f>D109</f>
        <v>49955.7</v>
      </c>
      <c r="E107" s="100">
        <f t="shared" ref="E107" si="91">E109</f>
        <v>20444.099999999999</v>
      </c>
      <c r="F107" s="100">
        <f t="shared" ref="F107:H107" si="92">F109</f>
        <v>41342.300000000003</v>
      </c>
      <c r="G107" s="100">
        <f>G109</f>
        <v>19706.099999999999</v>
      </c>
      <c r="H107" s="100">
        <f t="shared" si="92"/>
        <v>41342.300000000003</v>
      </c>
      <c r="I107" s="149">
        <f>H107/$H$239</f>
        <v>4.7E-2</v>
      </c>
      <c r="J107" s="158">
        <f t="shared" si="89"/>
        <v>2.0219999999999998</v>
      </c>
      <c r="K107" s="199">
        <f t="shared" si="87"/>
        <v>1</v>
      </c>
      <c r="L107" s="188">
        <f>H107-D107</f>
        <v>-8613.4</v>
      </c>
      <c r="M107" s="189">
        <f>H107/D107</f>
        <v>0.82799999999999996</v>
      </c>
      <c r="N107" s="198">
        <f>H107-G107</f>
        <v>21636.2</v>
      </c>
    </row>
    <row r="108" spans="1:14">
      <c r="A108" s="3"/>
      <c r="B108" s="6" t="s">
        <v>27</v>
      </c>
      <c r="C108" s="5"/>
      <c r="D108" s="5"/>
      <c r="E108" s="5"/>
      <c r="F108" s="154"/>
      <c r="G108" s="154"/>
      <c r="H108" s="154"/>
      <c r="I108" s="149"/>
      <c r="J108" s="158"/>
      <c r="K108" s="199"/>
      <c r="L108" s="188"/>
      <c r="M108" s="189"/>
      <c r="N108" s="198"/>
    </row>
    <row r="109" spans="1:14" ht="40.5">
      <c r="A109" s="3"/>
      <c r="B109" s="7" t="s">
        <v>309</v>
      </c>
      <c r="C109" s="5">
        <v>25000</v>
      </c>
      <c r="D109" s="5">
        <v>49955.7</v>
      </c>
      <c r="E109" s="5">
        <v>20444.099999999999</v>
      </c>
      <c r="F109" s="5">
        <v>41342.300000000003</v>
      </c>
      <c r="G109" s="5">
        <v>19706.099999999999</v>
      </c>
      <c r="H109" s="5">
        <v>41342.300000000003</v>
      </c>
      <c r="I109" s="149">
        <f>H109/$H$239</f>
        <v>4.7E-2</v>
      </c>
      <c r="J109" s="158">
        <f>H109/E109</f>
        <v>2.0219999999999998</v>
      </c>
      <c r="K109" s="199">
        <f t="shared" si="87"/>
        <v>1</v>
      </c>
      <c r="L109" s="188">
        <f>H109-D109</f>
        <v>-8613.4</v>
      </c>
      <c r="M109" s="189">
        <f>H109/D109</f>
        <v>0.82799999999999996</v>
      </c>
      <c r="N109" s="198">
        <f>H109-G109</f>
        <v>21636.2</v>
      </c>
    </row>
    <row r="110" spans="1:14" s="33" customFormat="1" ht="13.5" hidden="1" customHeight="1">
      <c r="A110" s="14"/>
      <c r="B110" s="29" t="s">
        <v>128</v>
      </c>
      <c r="C110" s="139"/>
      <c r="D110" s="139"/>
      <c r="E110" s="139"/>
      <c r="F110" s="139"/>
      <c r="G110" s="139"/>
      <c r="H110" s="139"/>
      <c r="I110" s="163">
        <f>H110/$H$239</f>
        <v>0</v>
      </c>
      <c r="J110" s="158" t="e">
        <f>H110/E110</f>
        <v>#DIV/0!</v>
      </c>
      <c r="K110" s="199" t="e">
        <f t="shared" si="87"/>
        <v>#DIV/0!</v>
      </c>
      <c r="L110" s="195">
        <f>H110-D110</f>
        <v>0</v>
      </c>
      <c r="M110" s="199" t="e">
        <f>H110/D110</f>
        <v>#DIV/0!</v>
      </c>
      <c r="N110" s="198">
        <f t="shared" ref="N110:N134" si="93">H110-G110</f>
        <v>0</v>
      </c>
    </row>
    <row r="111" spans="1:14" s="1" customFormat="1">
      <c r="A111" s="3" t="s">
        <v>89</v>
      </c>
      <c r="B111" s="7" t="s">
        <v>90</v>
      </c>
      <c r="C111" s="5">
        <f>C113+C125</f>
        <v>784991.2</v>
      </c>
      <c r="D111" s="5">
        <f>D113+D125</f>
        <v>847805.3</v>
      </c>
      <c r="E111" s="5">
        <f t="shared" ref="E111" si="94">E113+E125</f>
        <v>406131.1</v>
      </c>
      <c r="F111" s="5">
        <f>F113+F125</f>
        <v>522860.4</v>
      </c>
      <c r="G111" s="5">
        <f>G113+G125</f>
        <v>402141.3</v>
      </c>
      <c r="H111" s="5">
        <f>H113+H125</f>
        <v>522860.1</v>
      </c>
      <c r="I111" s="149">
        <f>H111/$H$239</f>
        <v>0.59599999999999997</v>
      </c>
      <c r="J111" s="158">
        <f>H111/E111</f>
        <v>1.2869999999999999</v>
      </c>
      <c r="K111" s="199">
        <f t="shared" si="87"/>
        <v>1</v>
      </c>
      <c r="L111" s="188">
        <f>H111-D111</f>
        <v>-324945.2</v>
      </c>
      <c r="M111" s="189">
        <f>H111/D111</f>
        <v>0.61699999999999999</v>
      </c>
      <c r="N111" s="198">
        <f t="shared" si="93"/>
        <v>120718.8</v>
      </c>
    </row>
    <row r="112" spans="1:14" s="1" customFormat="1">
      <c r="A112" s="3"/>
      <c r="B112" s="6" t="s">
        <v>167</v>
      </c>
      <c r="C112" s="5"/>
      <c r="D112" s="5"/>
      <c r="E112" s="155"/>
      <c r="F112" s="155"/>
      <c r="G112" s="155"/>
      <c r="H112" s="155"/>
      <c r="I112" s="149"/>
      <c r="J112" s="158"/>
      <c r="K112" s="199"/>
      <c r="L112" s="188"/>
      <c r="M112" s="189"/>
      <c r="N112" s="198"/>
    </row>
    <row r="113" spans="1:14" s="1" customFormat="1" ht="27">
      <c r="A113" s="3"/>
      <c r="B113" s="7" t="s">
        <v>173</v>
      </c>
      <c r="C113" s="5">
        <f>40291.5+182379.4</f>
        <v>222670.9</v>
      </c>
      <c r="D113" s="5">
        <f>40981+228295.4</f>
        <v>269276.40000000002</v>
      </c>
      <c r="E113" s="5">
        <v>160744.20000000001</v>
      </c>
      <c r="F113" s="5">
        <f>20449.1+142735.5</f>
        <v>163184.6</v>
      </c>
      <c r="G113" s="5">
        <v>141802.20000000001</v>
      </c>
      <c r="H113" s="5">
        <f>20449.1+142735.5</f>
        <v>163184.6</v>
      </c>
      <c r="I113" s="149">
        <f>H113/$H$239</f>
        <v>0.186</v>
      </c>
      <c r="J113" s="158">
        <f>H113/E113</f>
        <v>1.0149999999999999</v>
      </c>
      <c r="K113" s="199">
        <f t="shared" si="87"/>
        <v>1</v>
      </c>
      <c r="L113" s="188">
        <f>H113-D113</f>
        <v>-106091.8</v>
      </c>
      <c r="M113" s="189">
        <f>H113/D113</f>
        <v>0.60599999999999998</v>
      </c>
      <c r="N113" s="198">
        <f>H113-G113</f>
        <v>21382.400000000001</v>
      </c>
    </row>
    <row r="114" spans="1:14" s="1" customFormat="1" ht="67.5" hidden="1" customHeight="1">
      <c r="A114" s="3"/>
      <c r="B114" s="7" t="s">
        <v>114</v>
      </c>
      <c r="C114" s="5"/>
      <c r="D114" s="132"/>
      <c r="E114" s="5">
        <v>0</v>
      </c>
      <c r="F114" s="132">
        <v>0</v>
      </c>
      <c r="G114" s="132">
        <v>0</v>
      </c>
      <c r="H114" s="132">
        <v>0</v>
      </c>
      <c r="I114" s="149">
        <f>H114/$H$239</f>
        <v>0</v>
      </c>
      <c r="J114" s="158" t="e">
        <f>H114/E114</f>
        <v>#DIV/0!</v>
      </c>
      <c r="K114" s="199" t="e">
        <f t="shared" si="87"/>
        <v>#DIV/0!</v>
      </c>
      <c r="L114" s="188">
        <f>H114-D114</f>
        <v>0</v>
      </c>
      <c r="M114" s="189" t="e">
        <f>H114/D114</f>
        <v>#DIV/0!</v>
      </c>
      <c r="N114" s="198">
        <f t="shared" si="93"/>
        <v>0</v>
      </c>
    </row>
    <row r="115" spans="1:14" s="1" customFormat="1" ht="54" hidden="1" customHeight="1">
      <c r="A115" s="3"/>
      <c r="B115" s="7" t="s">
        <v>115</v>
      </c>
      <c r="C115" s="5"/>
      <c r="D115" s="132"/>
      <c r="E115" s="5">
        <v>0</v>
      </c>
      <c r="F115" s="132">
        <v>0</v>
      </c>
      <c r="G115" s="132">
        <v>0</v>
      </c>
      <c r="H115" s="132">
        <v>0</v>
      </c>
      <c r="I115" s="149">
        <f>H115/$H$239</f>
        <v>0</v>
      </c>
      <c r="J115" s="158" t="e">
        <f>H115/E115</f>
        <v>#DIV/0!</v>
      </c>
      <c r="K115" s="199" t="e">
        <f t="shared" si="87"/>
        <v>#DIV/0!</v>
      </c>
      <c r="L115" s="188">
        <f>H115-D115</f>
        <v>0</v>
      </c>
      <c r="M115" s="189" t="e">
        <f>H115/D115</f>
        <v>#DIV/0!</v>
      </c>
      <c r="N115" s="198">
        <f t="shared" si="93"/>
        <v>0</v>
      </c>
    </row>
    <row r="116" spans="1:14" s="1" customFormat="1" ht="40.5" hidden="1" customHeight="1">
      <c r="A116" s="3"/>
      <c r="B116" s="7" t="s">
        <v>91</v>
      </c>
      <c r="C116" s="5"/>
      <c r="D116" s="132"/>
      <c r="E116" s="5">
        <v>0</v>
      </c>
      <c r="F116" s="132">
        <v>0</v>
      </c>
      <c r="G116" s="132">
        <v>0</v>
      </c>
      <c r="H116" s="132">
        <v>0</v>
      </c>
      <c r="I116" s="149">
        <f>H116/$H$239</f>
        <v>0</v>
      </c>
      <c r="J116" s="158" t="e">
        <f>H116/E116</f>
        <v>#DIV/0!</v>
      </c>
      <c r="K116" s="199" t="e">
        <f t="shared" si="87"/>
        <v>#DIV/0!</v>
      </c>
      <c r="L116" s="188">
        <f>H116-D116</f>
        <v>0</v>
      </c>
      <c r="M116" s="189" t="e">
        <f>H116/D116</f>
        <v>#DIV/0!</v>
      </c>
      <c r="N116" s="198">
        <f t="shared" si="93"/>
        <v>0</v>
      </c>
    </row>
    <row r="117" spans="1:14" s="33" customFormat="1" ht="13.5" hidden="1" customHeight="1">
      <c r="A117" s="14"/>
      <c r="B117" s="29" t="s">
        <v>128</v>
      </c>
      <c r="C117" s="139"/>
      <c r="D117" s="133"/>
      <c r="E117" s="139">
        <v>0</v>
      </c>
      <c r="F117" s="133">
        <v>0</v>
      </c>
      <c r="G117" s="133">
        <v>0</v>
      </c>
      <c r="H117" s="133">
        <v>0</v>
      </c>
      <c r="I117" s="149">
        <f>H117/$H$239</f>
        <v>0</v>
      </c>
      <c r="J117" s="158" t="e">
        <f>H117/E117</f>
        <v>#DIV/0!</v>
      </c>
      <c r="K117" s="199" t="e">
        <f t="shared" si="87"/>
        <v>#DIV/0!</v>
      </c>
      <c r="L117" s="188">
        <f>H117-D117</f>
        <v>0</v>
      </c>
      <c r="M117" s="189" t="e">
        <f>H117/D117</f>
        <v>#DIV/0!</v>
      </c>
      <c r="N117" s="198">
        <f t="shared" si="93"/>
        <v>0</v>
      </c>
    </row>
    <row r="118" spans="1:14" s="33" customFormat="1" ht="13.5" customHeight="1">
      <c r="A118" s="14"/>
      <c r="B118" s="126" t="s">
        <v>167</v>
      </c>
      <c r="C118" s="139"/>
      <c r="D118" s="139"/>
      <c r="E118" s="139"/>
      <c r="F118" s="139"/>
      <c r="G118" s="139"/>
      <c r="H118" s="139"/>
      <c r="I118" s="149"/>
      <c r="J118" s="158"/>
      <c r="K118" s="199"/>
      <c r="L118" s="188"/>
      <c r="M118" s="189"/>
      <c r="N118" s="198"/>
    </row>
    <row r="119" spans="1:14" s="33" customFormat="1" ht="27">
      <c r="A119" s="14"/>
      <c r="B119" s="127" t="s">
        <v>239</v>
      </c>
      <c r="C119" s="139">
        <f>SUM(C120:C124)</f>
        <v>182379.5</v>
      </c>
      <c r="D119" s="139">
        <f>SUM(D120:D124)</f>
        <v>228295.4</v>
      </c>
      <c r="E119" s="139">
        <f t="shared" ref="E119" si="95">SUM(E120:E124)</f>
        <v>30418.3</v>
      </c>
      <c r="F119" s="139">
        <f t="shared" ref="F119:H119" si="96">SUM(F120:F124)</f>
        <v>142814.70000000001</v>
      </c>
      <c r="G119" s="139">
        <f t="shared" ref="G119" si="97">SUM(G120:G124)</f>
        <v>128542.3</v>
      </c>
      <c r="H119" s="139">
        <f t="shared" si="96"/>
        <v>142814.70000000001</v>
      </c>
      <c r="I119" s="149">
        <f t="shared" ref="I119:I125" si="98">H119/$H$239</f>
        <v>0.16300000000000001</v>
      </c>
      <c r="J119" s="158">
        <f>H119/E119</f>
        <v>4.6950000000000003</v>
      </c>
      <c r="K119" s="199">
        <f t="shared" si="87"/>
        <v>1</v>
      </c>
      <c r="L119" s="188">
        <f t="shared" ref="L119:L124" si="99">H119-D119</f>
        <v>-85480.7</v>
      </c>
      <c r="M119" s="189">
        <f t="shared" ref="M119:M125" si="100">H119/D119</f>
        <v>0.626</v>
      </c>
      <c r="N119" s="198">
        <f t="shared" si="93"/>
        <v>14272.4</v>
      </c>
    </row>
    <row r="120" spans="1:14" s="33" customFormat="1" ht="13.5" customHeight="1">
      <c r="A120" s="84"/>
      <c r="B120" s="85" t="s">
        <v>95</v>
      </c>
      <c r="C120" s="98">
        <v>99861.7</v>
      </c>
      <c r="D120" s="98">
        <v>99861.7</v>
      </c>
      <c r="E120" s="98">
        <v>20251.7</v>
      </c>
      <c r="F120" s="98">
        <v>79811.8</v>
      </c>
      <c r="G120" s="98">
        <v>70701.600000000006</v>
      </c>
      <c r="H120" s="98">
        <v>79811.8</v>
      </c>
      <c r="I120" s="150">
        <f t="shared" si="98"/>
        <v>9.0999999999999998E-2</v>
      </c>
      <c r="J120" s="158">
        <f>H120/E120</f>
        <v>3.9409999999999998</v>
      </c>
      <c r="K120" s="199">
        <f t="shared" si="87"/>
        <v>1</v>
      </c>
      <c r="L120" s="188">
        <f t="shared" si="99"/>
        <v>-20049.900000000001</v>
      </c>
      <c r="M120" s="189">
        <f t="shared" si="100"/>
        <v>0.79900000000000004</v>
      </c>
      <c r="N120" s="198">
        <f t="shared" si="93"/>
        <v>9110.2000000000007</v>
      </c>
    </row>
    <row r="121" spans="1:14" s="33" customFormat="1" ht="13.5" customHeight="1">
      <c r="A121" s="84"/>
      <c r="B121" s="85" t="s">
        <v>153</v>
      </c>
      <c r="C121" s="98">
        <v>305</v>
      </c>
      <c r="D121" s="98">
        <v>305</v>
      </c>
      <c r="E121" s="98"/>
      <c r="F121" s="98">
        <v>79.2</v>
      </c>
      <c r="G121" s="98">
        <v>190.7</v>
      </c>
      <c r="H121" s="98">
        <v>79.2</v>
      </c>
      <c r="I121" s="150">
        <f t="shared" si="98"/>
        <v>0</v>
      </c>
      <c r="J121" s="158"/>
      <c r="K121" s="199">
        <f t="shared" si="87"/>
        <v>1</v>
      </c>
      <c r="L121" s="188">
        <f t="shared" si="99"/>
        <v>-225.8</v>
      </c>
      <c r="M121" s="189">
        <f t="shared" si="100"/>
        <v>0.26</v>
      </c>
      <c r="N121" s="198">
        <f t="shared" si="93"/>
        <v>-111.5</v>
      </c>
    </row>
    <row r="122" spans="1:14" s="33" customFormat="1" ht="13.5" customHeight="1">
      <c r="A122" s="84"/>
      <c r="B122" s="85" t="s">
        <v>98</v>
      </c>
      <c r="C122" s="98">
        <v>7311.6</v>
      </c>
      <c r="D122" s="98">
        <v>7390.8</v>
      </c>
      <c r="E122" s="98">
        <v>263.2</v>
      </c>
      <c r="F122" s="98">
        <v>4499.1000000000004</v>
      </c>
      <c r="G122" s="98">
        <v>3076.2</v>
      </c>
      <c r="H122" s="98">
        <v>4499.1000000000004</v>
      </c>
      <c r="I122" s="150">
        <f t="shared" si="98"/>
        <v>5.0000000000000001E-3</v>
      </c>
      <c r="J122" s="158">
        <f>H122/E122</f>
        <v>17.094000000000001</v>
      </c>
      <c r="K122" s="199">
        <f t="shared" si="87"/>
        <v>1</v>
      </c>
      <c r="L122" s="188">
        <f t="shared" si="99"/>
        <v>-2891.7</v>
      </c>
      <c r="M122" s="189">
        <f t="shared" si="100"/>
        <v>0.60899999999999999</v>
      </c>
      <c r="N122" s="198">
        <f t="shared" si="93"/>
        <v>1422.9</v>
      </c>
    </row>
    <row r="123" spans="1:14" s="33" customFormat="1" ht="13.5" customHeight="1">
      <c r="A123" s="84"/>
      <c r="B123" s="85" t="s">
        <v>151</v>
      </c>
      <c r="C123" s="98">
        <v>1456.9</v>
      </c>
      <c r="D123" s="98">
        <v>1506.8</v>
      </c>
      <c r="E123" s="98">
        <v>71.5</v>
      </c>
      <c r="F123" s="98">
        <v>1006.1</v>
      </c>
      <c r="G123" s="98">
        <v>496.9</v>
      </c>
      <c r="H123" s="98">
        <v>1006.1</v>
      </c>
      <c r="I123" s="150">
        <f t="shared" si="98"/>
        <v>1E-3</v>
      </c>
      <c r="J123" s="158">
        <v>0</v>
      </c>
      <c r="K123" s="199">
        <f t="shared" si="87"/>
        <v>1</v>
      </c>
      <c r="L123" s="188">
        <f t="shared" si="99"/>
        <v>-500.7</v>
      </c>
      <c r="M123" s="189">
        <f t="shared" si="100"/>
        <v>0.66800000000000004</v>
      </c>
      <c r="N123" s="198">
        <f t="shared" si="93"/>
        <v>509.2</v>
      </c>
    </row>
    <row r="124" spans="1:14" s="33" customFormat="1" ht="13.5" customHeight="1">
      <c r="A124" s="84"/>
      <c r="B124" s="85" t="s">
        <v>152</v>
      </c>
      <c r="C124" s="98">
        <v>73444.3</v>
      </c>
      <c r="D124" s="98">
        <v>119231.1</v>
      </c>
      <c r="E124" s="98">
        <v>9831.9</v>
      </c>
      <c r="F124" s="98">
        <v>57418.5</v>
      </c>
      <c r="G124" s="98">
        <v>54076.9</v>
      </c>
      <c r="H124" s="98">
        <v>57418.5</v>
      </c>
      <c r="I124" s="150">
        <f t="shared" si="98"/>
        <v>6.5000000000000002E-2</v>
      </c>
      <c r="J124" s="158">
        <f>H124/E124</f>
        <v>5.84</v>
      </c>
      <c r="K124" s="199">
        <f t="shared" si="87"/>
        <v>1</v>
      </c>
      <c r="L124" s="188">
        <f t="shared" si="99"/>
        <v>-61812.6</v>
      </c>
      <c r="M124" s="189">
        <f t="shared" si="100"/>
        <v>0.48199999999999998</v>
      </c>
      <c r="N124" s="198">
        <f t="shared" si="93"/>
        <v>3341.6</v>
      </c>
    </row>
    <row r="125" spans="1:14" s="1" customFormat="1" ht="27">
      <c r="A125" s="115" t="s">
        <v>286</v>
      </c>
      <c r="B125" s="7" t="s">
        <v>218</v>
      </c>
      <c r="C125" s="5">
        <v>562320.30000000005</v>
      </c>
      <c r="D125" s="5">
        <v>578528.9</v>
      </c>
      <c r="E125" s="5">
        <v>245386.9</v>
      </c>
      <c r="F125" s="5">
        <f>359675.5+0.3</f>
        <v>359675.8</v>
      </c>
      <c r="G125" s="5">
        <v>260339.1</v>
      </c>
      <c r="H125" s="5">
        <v>359675.5</v>
      </c>
      <c r="I125" s="149">
        <f t="shared" si="98"/>
        <v>0.41</v>
      </c>
      <c r="J125" s="158">
        <f t="shared" ref="J125:J135" si="101">H125/E125</f>
        <v>1.466</v>
      </c>
      <c r="K125" s="199">
        <f t="shared" si="87"/>
        <v>1</v>
      </c>
      <c r="L125" s="188">
        <f>H125-D125</f>
        <v>-218853.4</v>
      </c>
      <c r="M125" s="189">
        <f t="shared" si="100"/>
        <v>0.622</v>
      </c>
      <c r="N125" s="198">
        <f t="shared" si="93"/>
        <v>99336.4</v>
      </c>
    </row>
    <row r="126" spans="1:14" s="1" customFormat="1" ht="15" hidden="1" customHeight="1">
      <c r="A126" s="115"/>
      <c r="B126" s="7" t="s">
        <v>167</v>
      </c>
      <c r="C126" s="5"/>
      <c r="D126" s="5"/>
      <c r="E126" s="5"/>
      <c r="F126" s="5"/>
      <c r="G126" s="5"/>
      <c r="H126" s="5"/>
      <c r="I126" s="149"/>
      <c r="J126" s="158">
        <v>0</v>
      </c>
      <c r="K126" s="199" t="e">
        <f t="shared" si="87"/>
        <v>#DIV/0!</v>
      </c>
      <c r="L126" s="188"/>
      <c r="M126" s="189"/>
      <c r="N126" s="198">
        <f t="shared" si="93"/>
        <v>0</v>
      </c>
    </row>
    <row r="127" spans="1:14" s="1" customFormat="1" ht="40.5" hidden="1" customHeight="1">
      <c r="A127" s="115" t="s">
        <v>216</v>
      </c>
      <c r="B127" s="176" t="s">
        <v>217</v>
      </c>
      <c r="C127" s="5">
        <v>0</v>
      </c>
      <c r="D127" s="132">
        <v>372480</v>
      </c>
      <c r="E127" s="5">
        <v>54256</v>
      </c>
      <c r="F127" s="5">
        <v>54256</v>
      </c>
      <c r="G127" s="5">
        <v>54256</v>
      </c>
      <c r="H127" s="5">
        <v>54256</v>
      </c>
      <c r="I127" s="149">
        <f>H127/$H$239</f>
        <v>6.2E-2</v>
      </c>
      <c r="J127" s="158">
        <f t="shared" si="101"/>
        <v>1</v>
      </c>
      <c r="K127" s="199">
        <f t="shared" si="87"/>
        <v>1</v>
      </c>
      <c r="L127" s="188">
        <f>H127-D127</f>
        <v>-318224</v>
      </c>
      <c r="M127" s="189">
        <f t="shared" ref="M127" si="102">H127/D127</f>
        <v>0.14599999999999999</v>
      </c>
      <c r="N127" s="198">
        <f t="shared" si="93"/>
        <v>0</v>
      </c>
    </row>
    <row r="128" spans="1:14" s="1" customFormat="1">
      <c r="A128" s="3" t="s">
        <v>131</v>
      </c>
      <c r="B128" s="7" t="s">
        <v>123</v>
      </c>
      <c r="C128" s="5">
        <f>C130+C132</f>
        <v>6902.1</v>
      </c>
      <c r="D128" s="5">
        <f>D130+D132</f>
        <v>6902.1</v>
      </c>
      <c r="E128" s="5">
        <f t="shared" ref="E128" si="103">E130+E132</f>
        <v>2279.6</v>
      </c>
      <c r="F128" s="5">
        <f>F130+F132</f>
        <v>2932.7</v>
      </c>
      <c r="G128" s="5">
        <v>2347.5</v>
      </c>
      <c r="H128" s="5">
        <f>H130+H132</f>
        <v>2932.7</v>
      </c>
      <c r="I128" s="149">
        <f>H128/$H$239</f>
        <v>3.0000000000000001E-3</v>
      </c>
      <c r="J128" s="158">
        <f t="shared" si="101"/>
        <v>1.286</v>
      </c>
      <c r="K128" s="199">
        <f t="shared" si="87"/>
        <v>1</v>
      </c>
      <c r="L128" s="188">
        <f>H128-D128</f>
        <v>-3969.4</v>
      </c>
      <c r="M128" s="189">
        <f>H128/D128</f>
        <v>0.42499999999999999</v>
      </c>
      <c r="N128" s="198">
        <f t="shared" si="93"/>
        <v>585.20000000000005</v>
      </c>
    </row>
    <row r="129" spans="1:14" s="1" customFormat="1">
      <c r="A129" s="3"/>
      <c r="B129" s="6" t="s">
        <v>27</v>
      </c>
      <c r="C129" s="5"/>
      <c r="D129" s="5"/>
      <c r="E129" s="5"/>
      <c r="F129" s="5"/>
      <c r="G129" s="5"/>
      <c r="H129" s="5"/>
      <c r="I129" s="149"/>
      <c r="J129" s="158">
        <v>0</v>
      </c>
      <c r="K129" s="199"/>
      <c r="L129" s="188"/>
      <c r="M129" s="189"/>
      <c r="N129" s="198">
        <f t="shared" si="93"/>
        <v>0</v>
      </c>
    </row>
    <row r="130" spans="1:14" s="33" customFormat="1" ht="40.5">
      <c r="A130" s="14" t="s">
        <v>191</v>
      </c>
      <c r="B130" s="29" t="s">
        <v>132</v>
      </c>
      <c r="C130" s="139">
        <v>2902.1</v>
      </c>
      <c r="D130" s="139">
        <v>2902.1</v>
      </c>
      <c r="E130" s="139">
        <v>1370</v>
      </c>
      <c r="F130" s="139">
        <v>2106.6</v>
      </c>
      <c r="G130" s="139">
        <v>1875.1</v>
      </c>
      <c r="H130" s="139">
        <v>2106.6</v>
      </c>
      <c r="I130" s="163">
        <f>H130/$H$239</f>
        <v>2E-3</v>
      </c>
      <c r="J130" s="158">
        <f t="shared" si="101"/>
        <v>1.538</v>
      </c>
      <c r="K130" s="199">
        <f t="shared" si="87"/>
        <v>1</v>
      </c>
      <c r="L130" s="195">
        <f>H130-D130</f>
        <v>-795.5</v>
      </c>
      <c r="M130" s="199">
        <f>H130/D130</f>
        <v>0.72599999999999998</v>
      </c>
      <c r="N130" s="198">
        <f t="shared" si="93"/>
        <v>231.5</v>
      </c>
    </row>
    <row r="131" spans="1:14" s="33" customFormat="1" ht="54" hidden="1" customHeight="1">
      <c r="A131" s="14"/>
      <c r="B131" s="29" t="s">
        <v>132</v>
      </c>
      <c r="C131" s="139">
        <v>0</v>
      </c>
      <c r="D131" s="139">
        <v>0</v>
      </c>
      <c r="E131" s="139">
        <v>0</v>
      </c>
      <c r="F131" s="139">
        <v>0</v>
      </c>
      <c r="G131" s="139">
        <v>0</v>
      </c>
      <c r="H131" s="139">
        <v>0</v>
      </c>
      <c r="I131" s="163">
        <f>H131/$H$239</f>
        <v>0</v>
      </c>
      <c r="J131" s="158" t="e">
        <f t="shared" si="101"/>
        <v>#DIV/0!</v>
      </c>
      <c r="K131" s="199" t="e">
        <f t="shared" si="87"/>
        <v>#DIV/0!</v>
      </c>
      <c r="L131" s="195">
        <f>H131-D131</f>
        <v>0</v>
      </c>
      <c r="M131" s="199" t="e">
        <f>H131/D131</f>
        <v>#DIV/0!</v>
      </c>
      <c r="N131" s="198">
        <f t="shared" si="93"/>
        <v>0</v>
      </c>
    </row>
    <row r="132" spans="1:14" s="33" customFormat="1" ht="23.25" customHeight="1">
      <c r="A132" s="14" t="s">
        <v>210</v>
      </c>
      <c r="B132" s="29" t="s">
        <v>170</v>
      </c>
      <c r="C132" s="139">
        <v>4000</v>
      </c>
      <c r="D132" s="139">
        <v>4000</v>
      </c>
      <c r="E132" s="139">
        <v>909.6</v>
      </c>
      <c r="F132" s="139">
        <v>826.1</v>
      </c>
      <c r="G132" s="139">
        <v>472.4</v>
      </c>
      <c r="H132" s="139">
        <v>826.1</v>
      </c>
      <c r="I132" s="163">
        <f>H132/$H$239</f>
        <v>1E-3</v>
      </c>
      <c r="J132" s="158">
        <f t="shared" si="101"/>
        <v>0.90800000000000003</v>
      </c>
      <c r="K132" s="199">
        <f t="shared" si="87"/>
        <v>1</v>
      </c>
      <c r="L132" s="195">
        <f>H132-D132</f>
        <v>-3173.9</v>
      </c>
      <c r="M132" s="199">
        <f>H132/D132</f>
        <v>0.20699999999999999</v>
      </c>
      <c r="N132" s="198">
        <f t="shared" si="93"/>
        <v>353.7</v>
      </c>
    </row>
    <row r="133" spans="1:14" s="1" customFormat="1">
      <c r="A133" s="3"/>
      <c r="B133" s="217" t="s">
        <v>118</v>
      </c>
      <c r="C133" s="5"/>
      <c r="D133" s="5"/>
      <c r="E133" s="5"/>
      <c r="F133" s="5"/>
      <c r="G133" s="5"/>
      <c r="H133" s="5"/>
      <c r="I133" s="163"/>
      <c r="J133" s="158"/>
      <c r="K133" s="199"/>
      <c r="L133" s="195"/>
      <c r="M133" s="199"/>
      <c r="N133" s="198"/>
    </row>
    <row r="134" spans="1:14" s="1" customFormat="1">
      <c r="A134" s="3"/>
      <c r="B134" s="16" t="s">
        <v>95</v>
      </c>
      <c r="C134" s="5">
        <v>99861.7</v>
      </c>
      <c r="D134" s="5">
        <v>99861.7</v>
      </c>
      <c r="E134" s="5"/>
      <c r="F134" s="5">
        <v>79811.8</v>
      </c>
      <c r="G134" s="5">
        <v>70701.600000000006</v>
      </c>
      <c r="H134" s="5">
        <v>79811.8</v>
      </c>
      <c r="I134" s="163">
        <f>H134/$H$239</f>
        <v>9.0999999999999998E-2</v>
      </c>
      <c r="J134" s="158"/>
      <c r="K134" s="199">
        <f t="shared" si="87"/>
        <v>1</v>
      </c>
      <c r="L134" s="195">
        <f t="shared" ref="L134" si="104">H134-D134</f>
        <v>-20049.900000000001</v>
      </c>
      <c r="M134" s="199">
        <f t="shared" ref="M134" si="105">H134/D134</f>
        <v>0.79900000000000004</v>
      </c>
      <c r="N134" s="198">
        <f t="shared" si="93"/>
        <v>9110.2000000000007</v>
      </c>
    </row>
    <row r="135" spans="1:14" s="1" customFormat="1">
      <c r="A135" s="3"/>
      <c r="B135" s="16" t="s">
        <v>133</v>
      </c>
      <c r="C135" s="5">
        <v>817569.4</v>
      </c>
      <c r="D135" s="5">
        <v>906040.1</v>
      </c>
      <c r="E135" s="5">
        <v>428552</v>
      </c>
      <c r="F135" s="5">
        <v>566911.69999999995</v>
      </c>
      <c r="G135" s="5">
        <v>424344.7</v>
      </c>
      <c r="H135" s="5">
        <v>566911.69999999995</v>
      </c>
      <c r="I135" s="149">
        <f>H135/$H$239</f>
        <v>0.64600000000000002</v>
      </c>
      <c r="J135" s="158">
        <f t="shared" si="101"/>
        <v>1.323</v>
      </c>
      <c r="K135" s="199">
        <f t="shared" si="87"/>
        <v>1</v>
      </c>
      <c r="L135" s="188">
        <f>H135-D135</f>
        <v>-339128.4</v>
      </c>
      <c r="M135" s="189">
        <f>H135/D135</f>
        <v>0.626</v>
      </c>
      <c r="N135" s="198">
        <f>H135-G135</f>
        <v>142567</v>
      </c>
    </row>
    <row r="136" spans="1:14" s="22" customFormat="1">
      <c r="A136" s="65" t="s">
        <v>22</v>
      </c>
      <c r="B136" s="70" t="s">
        <v>8</v>
      </c>
      <c r="C136" s="68">
        <f>C137+C151+C169+C148</f>
        <v>162791.20000000001</v>
      </c>
      <c r="D136" s="68">
        <f>D137+D151+D169+D148</f>
        <v>191400.8</v>
      </c>
      <c r="E136" s="68">
        <f t="shared" ref="E136:G136" si="106">E137+E151+E169+E148</f>
        <v>155364.79999999999</v>
      </c>
      <c r="F136" s="68">
        <f>F137+F151+F169+F148</f>
        <v>114901.9</v>
      </c>
      <c r="G136" s="68">
        <f t="shared" si="106"/>
        <v>101783</v>
      </c>
      <c r="H136" s="68">
        <f>H137+H151+H169+H148</f>
        <v>114901.9</v>
      </c>
      <c r="I136" s="67">
        <f>H136/$H$239</f>
        <v>0.13100000000000001</v>
      </c>
      <c r="J136" s="158">
        <f>H136/E136</f>
        <v>0.74</v>
      </c>
      <c r="K136" s="158">
        <f t="shared" si="87"/>
        <v>1</v>
      </c>
      <c r="L136" s="159">
        <f>H136-D136</f>
        <v>-76498.899999999994</v>
      </c>
      <c r="M136" s="158">
        <f>H136/D136</f>
        <v>0.6</v>
      </c>
      <c r="N136" s="160">
        <f>H136-G136</f>
        <v>13118.9</v>
      </c>
    </row>
    <row r="137" spans="1:14">
      <c r="A137" s="14" t="s">
        <v>55</v>
      </c>
      <c r="B137" s="28" t="s">
        <v>67</v>
      </c>
      <c r="C137" s="139">
        <f>C139+C142+C141+C143+C144+C146+C147</f>
        <v>10596.9</v>
      </c>
      <c r="D137" s="139">
        <f>D139+D142+D141+D143+D144+D146+D147+D145</f>
        <v>15666.5</v>
      </c>
      <c r="E137" s="139">
        <f>E139+E142+E141+E143+E144+E146+E147</f>
        <v>6809.9</v>
      </c>
      <c r="F137" s="139">
        <v>4521.3999999999996</v>
      </c>
      <c r="G137" s="139">
        <f>G139+G142+G141+G143+G144+G146+G147</f>
        <v>4536</v>
      </c>
      <c r="H137" s="139">
        <v>4521.3999999999996</v>
      </c>
      <c r="I137" s="149">
        <f>H137/$H$239</f>
        <v>5.0000000000000001E-3</v>
      </c>
      <c r="J137" s="158">
        <f>H137/E137</f>
        <v>0.66400000000000003</v>
      </c>
      <c r="K137" s="199">
        <f t="shared" si="87"/>
        <v>1</v>
      </c>
      <c r="L137" s="188">
        <f>H137-D137</f>
        <v>-11145.1</v>
      </c>
      <c r="M137" s="189">
        <f>H137/D137</f>
        <v>0.28899999999999998</v>
      </c>
      <c r="N137" s="198">
        <f>H137-G137</f>
        <v>-14.6</v>
      </c>
    </row>
    <row r="138" spans="1:14">
      <c r="A138" s="14"/>
      <c r="B138" s="28" t="s">
        <v>167</v>
      </c>
      <c r="C138" s="140"/>
      <c r="D138" s="140"/>
      <c r="E138" s="140"/>
      <c r="F138" s="140"/>
      <c r="G138" s="140"/>
      <c r="H138" s="140"/>
      <c r="I138" s="156"/>
      <c r="J138" s="158"/>
      <c r="K138" s="199"/>
      <c r="L138" s="188"/>
      <c r="M138" s="189"/>
      <c r="N138" s="198"/>
    </row>
    <row r="139" spans="1:14" ht="40.5">
      <c r="A139" s="171" t="s">
        <v>233</v>
      </c>
      <c r="B139" s="29" t="s">
        <v>69</v>
      </c>
      <c r="C139" s="139">
        <v>672.2</v>
      </c>
      <c r="D139" s="139">
        <v>3915.8</v>
      </c>
      <c r="E139" s="139">
        <v>224.4</v>
      </c>
      <c r="F139" s="139">
        <v>478.2</v>
      </c>
      <c r="G139" s="139">
        <v>0</v>
      </c>
      <c r="H139" s="139">
        <v>478.2</v>
      </c>
      <c r="I139" s="149">
        <f t="shared" ref="I139:I145" si="107">H139/$H$239</f>
        <v>1E-3</v>
      </c>
      <c r="J139" s="158">
        <f t="shared" ref="J139:J140" si="108">H139/E139</f>
        <v>2.1309999999999998</v>
      </c>
      <c r="K139" s="199">
        <f t="shared" si="87"/>
        <v>1</v>
      </c>
      <c r="L139" s="188">
        <f t="shared" ref="L139:L145" si="109">H139-D139</f>
        <v>-3437.6</v>
      </c>
      <c r="M139" s="189">
        <f t="shared" ref="M139:M161" si="110">H139/D139</f>
        <v>0.122</v>
      </c>
      <c r="N139" s="198">
        <f t="shared" ref="N139:N161" si="111">H139-G139</f>
        <v>478.2</v>
      </c>
    </row>
    <row r="140" spans="1:14" ht="27" hidden="1" customHeight="1">
      <c r="A140" s="14" t="s">
        <v>192</v>
      </c>
      <c r="B140" s="29" t="s">
        <v>175</v>
      </c>
      <c r="C140" s="139">
        <v>0</v>
      </c>
      <c r="D140" s="133">
        <v>0</v>
      </c>
      <c r="E140" s="139">
        <v>0</v>
      </c>
      <c r="F140" s="133">
        <v>0</v>
      </c>
      <c r="G140" s="133">
        <v>0</v>
      </c>
      <c r="H140" s="133">
        <v>0</v>
      </c>
      <c r="I140" s="149">
        <f t="shared" si="107"/>
        <v>0</v>
      </c>
      <c r="J140" s="158" t="e">
        <f t="shared" si="108"/>
        <v>#DIV/0!</v>
      </c>
      <c r="K140" s="199" t="e">
        <f t="shared" si="87"/>
        <v>#DIV/0!</v>
      </c>
      <c r="L140" s="188">
        <f t="shared" si="109"/>
        <v>0</v>
      </c>
      <c r="M140" s="189" t="e">
        <f t="shared" si="110"/>
        <v>#DIV/0!</v>
      </c>
      <c r="N140" s="198">
        <f t="shared" si="111"/>
        <v>0</v>
      </c>
    </row>
    <row r="141" spans="1:14" ht="40.5" hidden="1">
      <c r="A141" s="14" t="s">
        <v>184</v>
      </c>
      <c r="B141" s="29" t="s">
        <v>185</v>
      </c>
      <c r="C141" s="139">
        <v>0</v>
      </c>
      <c r="D141" s="139">
        <v>0</v>
      </c>
      <c r="E141" s="139">
        <v>2399.5</v>
      </c>
      <c r="F141" s="139">
        <v>0</v>
      </c>
      <c r="G141" s="139">
        <v>0</v>
      </c>
      <c r="H141" s="139">
        <v>0</v>
      </c>
      <c r="I141" s="149">
        <f t="shared" si="107"/>
        <v>0</v>
      </c>
      <c r="J141" s="158">
        <f>H141/E141</f>
        <v>0</v>
      </c>
      <c r="K141" s="199" t="e">
        <f t="shared" si="87"/>
        <v>#DIV/0!</v>
      </c>
      <c r="L141" s="188">
        <f t="shared" si="109"/>
        <v>0</v>
      </c>
      <c r="M141" s="189">
        <v>0</v>
      </c>
      <c r="N141" s="198">
        <f t="shared" si="111"/>
        <v>0</v>
      </c>
    </row>
    <row r="142" spans="1:14" ht="27" hidden="1" customHeight="1">
      <c r="A142" s="171" t="s">
        <v>193</v>
      </c>
      <c r="B142" s="29" t="s">
        <v>287</v>
      </c>
      <c r="C142" s="139">
        <v>0</v>
      </c>
      <c r="D142" s="139">
        <v>0</v>
      </c>
      <c r="E142" s="139">
        <v>0</v>
      </c>
      <c r="F142" s="139">
        <v>0</v>
      </c>
      <c r="G142" s="139">
        <v>0</v>
      </c>
      <c r="H142" s="139">
        <v>0</v>
      </c>
      <c r="I142" s="149">
        <f t="shared" si="107"/>
        <v>0</v>
      </c>
      <c r="J142" s="158">
        <v>0</v>
      </c>
      <c r="K142" s="199" t="e">
        <f t="shared" si="87"/>
        <v>#DIV/0!</v>
      </c>
      <c r="L142" s="188">
        <f t="shared" si="109"/>
        <v>0</v>
      </c>
      <c r="M142" s="189">
        <v>0</v>
      </c>
      <c r="N142" s="198">
        <f t="shared" si="111"/>
        <v>0</v>
      </c>
    </row>
    <row r="143" spans="1:14" ht="27">
      <c r="A143" s="171" t="s">
        <v>219</v>
      </c>
      <c r="B143" s="29" t="s">
        <v>157</v>
      </c>
      <c r="C143" s="139">
        <v>8274.7000000000007</v>
      </c>
      <c r="D143" s="139">
        <v>8274.7000000000007</v>
      </c>
      <c r="E143" s="139">
        <v>3947.5</v>
      </c>
      <c r="F143" s="139">
        <v>2165.4</v>
      </c>
      <c r="G143" s="139">
        <v>3994.5</v>
      </c>
      <c r="H143" s="139">
        <v>2165.4</v>
      </c>
      <c r="I143" s="149">
        <f t="shared" si="107"/>
        <v>2E-3</v>
      </c>
      <c r="J143" s="158">
        <f t="shared" ref="J143:J160" si="112">H143/E143</f>
        <v>0.54900000000000004</v>
      </c>
      <c r="K143" s="199">
        <f t="shared" si="87"/>
        <v>1</v>
      </c>
      <c r="L143" s="188">
        <f t="shared" si="109"/>
        <v>-6109.3</v>
      </c>
      <c r="M143" s="189">
        <f t="shared" si="110"/>
        <v>0.26200000000000001</v>
      </c>
      <c r="N143" s="198">
        <f t="shared" si="111"/>
        <v>-1829.1</v>
      </c>
    </row>
    <row r="144" spans="1:14">
      <c r="A144" s="171" t="s">
        <v>288</v>
      </c>
      <c r="B144" s="29" t="s">
        <v>220</v>
      </c>
      <c r="C144" s="139">
        <v>1150</v>
      </c>
      <c r="D144" s="139">
        <v>1150</v>
      </c>
      <c r="E144" s="139">
        <f>132.6+105.9</f>
        <v>238.5</v>
      </c>
      <c r="F144" s="139">
        <v>51.8</v>
      </c>
      <c r="G144" s="139">
        <v>541.5</v>
      </c>
      <c r="H144" s="139">
        <v>51.8</v>
      </c>
      <c r="I144" s="149">
        <f t="shared" si="107"/>
        <v>0</v>
      </c>
      <c r="J144" s="158">
        <f t="shared" si="112"/>
        <v>0.217</v>
      </c>
      <c r="K144" s="199">
        <f t="shared" si="87"/>
        <v>1</v>
      </c>
      <c r="L144" s="188">
        <f t="shared" si="109"/>
        <v>-1098.2</v>
      </c>
      <c r="M144" s="189">
        <f t="shared" si="110"/>
        <v>4.4999999999999998E-2</v>
      </c>
      <c r="N144" s="198">
        <f t="shared" si="111"/>
        <v>-489.7</v>
      </c>
    </row>
    <row r="145" spans="1:14" ht="43.5" customHeight="1">
      <c r="A145" s="14" t="s">
        <v>184</v>
      </c>
      <c r="B145" s="29" t="s">
        <v>310</v>
      </c>
      <c r="C145" s="139">
        <v>0</v>
      </c>
      <c r="D145" s="139">
        <v>1826</v>
      </c>
      <c r="E145" s="139"/>
      <c r="F145" s="139">
        <v>1826</v>
      </c>
      <c r="G145" s="139">
        <v>0</v>
      </c>
      <c r="H145" s="139">
        <v>1826</v>
      </c>
      <c r="I145" s="156">
        <f t="shared" si="107"/>
        <v>2E-3</v>
      </c>
      <c r="J145" s="158"/>
      <c r="K145" s="199">
        <f t="shared" si="87"/>
        <v>1</v>
      </c>
      <c r="L145" s="188">
        <f t="shared" si="109"/>
        <v>0</v>
      </c>
      <c r="M145" s="189">
        <f t="shared" si="110"/>
        <v>1</v>
      </c>
      <c r="N145" s="198">
        <f t="shared" si="111"/>
        <v>1826</v>
      </c>
    </row>
    <row r="146" spans="1:14" ht="34.5" customHeight="1">
      <c r="A146" s="171" t="s">
        <v>194</v>
      </c>
      <c r="B146" s="29" t="s">
        <v>253</v>
      </c>
      <c r="C146" s="139">
        <v>500</v>
      </c>
      <c r="D146" s="139">
        <v>500</v>
      </c>
      <c r="E146" s="139">
        <v>0</v>
      </c>
      <c r="F146" s="139">
        <v>0</v>
      </c>
      <c r="G146" s="139">
        <v>0</v>
      </c>
      <c r="H146" s="139">
        <v>0</v>
      </c>
      <c r="I146" s="156">
        <f>H146/$H$239</f>
        <v>0</v>
      </c>
      <c r="J146" s="158">
        <v>0</v>
      </c>
      <c r="K146" s="199">
        <v>0</v>
      </c>
      <c r="L146" s="188">
        <f t="shared" ref="L146:L151" si="113">H146-D146</f>
        <v>-500</v>
      </c>
      <c r="M146" s="189">
        <f t="shared" si="110"/>
        <v>0</v>
      </c>
      <c r="N146" s="198">
        <f t="shared" si="111"/>
        <v>0</v>
      </c>
    </row>
    <row r="147" spans="1:14" ht="13.5" hidden="1" customHeight="1">
      <c r="A147" s="14"/>
      <c r="B147" s="29" t="s">
        <v>174</v>
      </c>
      <c r="C147" s="139">
        <v>0</v>
      </c>
      <c r="D147" s="139">
        <v>0</v>
      </c>
      <c r="E147" s="139">
        <v>0</v>
      </c>
      <c r="F147" s="139">
        <v>0</v>
      </c>
      <c r="G147" s="139">
        <v>0</v>
      </c>
      <c r="H147" s="139">
        <v>0</v>
      </c>
      <c r="I147" s="156">
        <f>H147/$H$239</f>
        <v>0</v>
      </c>
      <c r="J147" s="158" t="e">
        <f t="shared" si="112"/>
        <v>#DIV/0!</v>
      </c>
      <c r="K147" s="199">
        <v>0</v>
      </c>
      <c r="L147" s="188">
        <f t="shared" si="113"/>
        <v>0</v>
      </c>
      <c r="M147" s="189" t="e">
        <f t="shared" si="110"/>
        <v>#DIV/0!</v>
      </c>
      <c r="N147" s="198">
        <f t="shared" si="111"/>
        <v>0</v>
      </c>
    </row>
    <row r="148" spans="1:14" ht="13.5" customHeight="1">
      <c r="A148" s="14" t="s">
        <v>134</v>
      </c>
      <c r="B148" s="8" t="s">
        <v>135</v>
      </c>
      <c r="C148" s="138">
        <f>C150</f>
        <v>0</v>
      </c>
      <c r="D148" s="138">
        <f t="shared" ref="D148:H148" si="114">D150</f>
        <v>99</v>
      </c>
      <c r="E148" s="138">
        <f t="shared" si="114"/>
        <v>0</v>
      </c>
      <c r="F148" s="138">
        <f t="shared" ref="F148" si="115">F150</f>
        <v>0</v>
      </c>
      <c r="G148" s="138">
        <f t="shared" si="114"/>
        <v>0</v>
      </c>
      <c r="H148" s="138">
        <f t="shared" si="114"/>
        <v>0</v>
      </c>
      <c r="I148" s="156">
        <f>H148/$H$239</f>
        <v>0</v>
      </c>
      <c r="J148" s="241" t="e">
        <f t="shared" si="112"/>
        <v>#DIV/0!</v>
      </c>
      <c r="K148" s="80">
        <v>0</v>
      </c>
      <c r="L148" s="78">
        <f t="shared" si="113"/>
        <v>-99</v>
      </c>
      <c r="M148" s="77">
        <f t="shared" si="110"/>
        <v>0</v>
      </c>
      <c r="N148" s="76">
        <f t="shared" si="111"/>
        <v>0</v>
      </c>
    </row>
    <row r="149" spans="1:14" ht="13.5" customHeight="1">
      <c r="A149" s="14"/>
      <c r="B149" s="8" t="s">
        <v>27</v>
      </c>
      <c r="C149" s="8"/>
      <c r="D149" s="138"/>
      <c r="E149" s="138"/>
      <c r="F149" s="5"/>
      <c r="G149" s="5"/>
      <c r="H149" s="5"/>
      <c r="I149" s="156"/>
      <c r="J149" s="158" t="e">
        <f t="shared" si="112"/>
        <v>#DIV/0!</v>
      </c>
      <c r="K149" s="77"/>
      <c r="L149" s="77"/>
      <c r="M149" s="77"/>
      <c r="N149" s="77"/>
    </row>
    <row r="150" spans="1:14" ht="13.5" customHeight="1">
      <c r="A150" s="14"/>
      <c r="B150" s="7" t="s">
        <v>311</v>
      </c>
      <c r="C150" s="138">
        <v>0</v>
      </c>
      <c r="D150" s="138">
        <v>99</v>
      </c>
      <c r="E150" s="138"/>
      <c r="F150" s="5">
        <v>0</v>
      </c>
      <c r="G150" s="5">
        <v>0</v>
      </c>
      <c r="H150" s="5">
        <v>0</v>
      </c>
      <c r="I150" s="156">
        <f>H150/$H$239</f>
        <v>0</v>
      </c>
      <c r="J150" s="158" t="e">
        <f t="shared" si="112"/>
        <v>#DIV/0!</v>
      </c>
      <c r="K150" s="199">
        <v>0</v>
      </c>
      <c r="L150" s="188">
        <f t="shared" si="113"/>
        <v>-99</v>
      </c>
      <c r="M150" s="189">
        <f t="shared" si="110"/>
        <v>0</v>
      </c>
      <c r="N150" s="198">
        <f t="shared" si="111"/>
        <v>0</v>
      </c>
    </row>
    <row r="151" spans="1:14">
      <c r="A151" s="14" t="s">
        <v>42</v>
      </c>
      <c r="B151" s="8" t="s">
        <v>43</v>
      </c>
      <c r="C151" s="138">
        <f>C155+C156+C157+C158+C153+C154</f>
        <v>150204.29999999999</v>
      </c>
      <c r="D151" s="138">
        <f>D155+D156+D157+D158+D153+D154+D166+D167+D168</f>
        <v>170796.1</v>
      </c>
      <c r="E151" s="138">
        <f t="shared" ref="E151" si="116">E155+E156+E157+E158+E153+E154+E166+E167+E168</f>
        <v>147797.1</v>
      </c>
      <c r="F151" s="138">
        <f>F153+F154+F155+F156+F157+F166+F167+F168</f>
        <v>107810.4</v>
      </c>
      <c r="G151" s="138">
        <f>G153+G154+G155+G156+G157+G166+G167+G168</f>
        <v>96566.3</v>
      </c>
      <c r="H151" s="138">
        <f>H153+H154+H155+H156+H157+H166+H167+H168</f>
        <v>107810.4</v>
      </c>
      <c r="I151" s="156">
        <f>H151/$H$239</f>
        <v>0.123</v>
      </c>
      <c r="J151" s="158">
        <f t="shared" si="112"/>
        <v>0.72899999999999998</v>
      </c>
      <c r="K151" s="199">
        <f t="shared" ref="K151:K175" si="117">H151/F151</f>
        <v>1</v>
      </c>
      <c r="L151" s="188">
        <f t="shared" si="113"/>
        <v>-62985.7</v>
      </c>
      <c r="M151" s="189">
        <f t="shared" si="110"/>
        <v>0.63100000000000001</v>
      </c>
      <c r="N151" s="198">
        <f t="shared" si="111"/>
        <v>11244.1</v>
      </c>
    </row>
    <row r="152" spans="1:14">
      <c r="A152" s="14"/>
      <c r="B152" s="8" t="s">
        <v>27</v>
      </c>
      <c r="C152" s="8"/>
      <c r="D152" s="138"/>
      <c r="E152" s="5"/>
      <c r="F152" s="5"/>
      <c r="G152" s="5"/>
      <c r="H152" s="5"/>
      <c r="I152" s="156"/>
      <c r="J152" s="158"/>
      <c r="K152" s="199"/>
      <c r="L152" s="188"/>
      <c r="M152" s="189"/>
      <c r="N152" s="198"/>
    </row>
    <row r="153" spans="1:14" ht="27">
      <c r="A153" s="14" t="s">
        <v>211</v>
      </c>
      <c r="B153" s="29" t="s">
        <v>212</v>
      </c>
      <c r="C153" s="139">
        <v>1000</v>
      </c>
      <c r="D153" s="139">
        <v>1000</v>
      </c>
      <c r="E153" s="139">
        <v>0</v>
      </c>
      <c r="F153" s="139">
        <v>0</v>
      </c>
      <c r="G153" s="139">
        <v>0</v>
      </c>
      <c r="H153" s="139">
        <v>0</v>
      </c>
      <c r="I153" s="156">
        <f>H153/$H$239</f>
        <v>0</v>
      </c>
      <c r="J153" s="158">
        <v>0</v>
      </c>
      <c r="K153" s="199">
        <v>0</v>
      </c>
      <c r="L153" s="188">
        <f>H153-D153</f>
        <v>-1000</v>
      </c>
      <c r="M153" s="189">
        <f>H153/D153</f>
        <v>0</v>
      </c>
      <c r="N153" s="198">
        <f>H153-G153</f>
        <v>0</v>
      </c>
    </row>
    <row r="154" spans="1:14" ht="67.5">
      <c r="A154" s="171" t="s">
        <v>251</v>
      </c>
      <c r="B154" s="8" t="s">
        <v>238</v>
      </c>
      <c r="C154" s="138">
        <v>41220.1</v>
      </c>
      <c r="D154" s="138">
        <v>43483</v>
      </c>
      <c r="E154" s="5">
        <v>68256.899999999994</v>
      </c>
      <c r="F154" s="5">
        <v>39345.1</v>
      </c>
      <c r="G154" s="5">
        <v>29888.9</v>
      </c>
      <c r="H154" s="5">
        <v>39345.1</v>
      </c>
      <c r="I154" s="149">
        <f>H154/$H$239</f>
        <v>4.4999999999999998E-2</v>
      </c>
      <c r="J154" s="158">
        <v>0</v>
      </c>
      <c r="K154" s="199">
        <f t="shared" si="117"/>
        <v>1</v>
      </c>
      <c r="L154" s="188">
        <f t="shared" ref="L154:L161" si="118">H154-D154</f>
        <v>-4137.8999999999996</v>
      </c>
      <c r="M154" s="189">
        <f t="shared" si="110"/>
        <v>0.90500000000000003</v>
      </c>
      <c r="N154" s="198">
        <f t="shared" si="111"/>
        <v>9456.2000000000007</v>
      </c>
    </row>
    <row r="155" spans="1:14">
      <c r="A155" s="14" t="s">
        <v>179</v>
      </c>
      <c r="B155" s="7" t="s">
        <v>92</v>
      </c>
      <c r="C155" s="138">
        <v>83234.8</v>
      </c>
      <c r="D155" s="138">
        <v>83234.8</v>
      </c>
      <c r="E155" s="5">
        <v>53311.7</v>
      </c>
      <c r="F155" s="5">
        <v>51664.800000000003</v>
      </c>
      <c r="G155" s="5">
        <v>55450.9</v>
      </c>
      <c r="H155" s="5">
        <v>51664.800000000003</v>
      </c>
      <c r="I155" s="149">
        <f>H155/$H$239</f>
        <v>5.8999999999999997E-2</v>
      </c>
      <c r="J155" s="158">
        <f t="shared" si="112"/>
        <v>0.96899999999999997</v>
      </c>
      <c r="K155" s="199">
        <f t="shared" si="117"/>
        <v>1</v>
      </c>
      <c r="L155" s="188">
        <f t="shared" si="118"/>
        <v>-31570</v>
      </c>
      <c r="M155" s="189">
        <f t="shared" si="110"/>
        <v>0.621</v>
      </c>
      <c r="N155" s="198">
        <f t="shared" si="111"/>
        <v>-3786.1</v>
      </c>
    </row>
    <row r="156" spans="1:14" ht="27">
      <c r="A156" s="171" t="s">
        <v>195</v>
      </c>
      <c r="B156" s="7" t="s">
        <v>252</v>
      </c>
      <c r="C156" s="138">
        <v>5000</v>
      </c>
      <c r="D156" s="138">
        <v>8500</v>
      </c>
      <c r="E156" s="5">
        <v>2391.5</v>
      </c>
      <c r="F156" s="5">
        <v>3500</v>
      </c>
      <c r="G156" s="5">
        <v>429.4</v>
      </c>
      <c r="H156" s="5">
        <v>3500</v>
      </c>
      <c r="I156" s="149">
        <f>H156/$H$239</f>
        <v>4.0000000000000001E-3</v>
      </c>
      <c r="J156" s="158">
        <f t="shared" si="112"/>
        <v>1.464</v>
      </c>
      <c r="K156" s="199">
        <f t="shared" si="117"/>
        <v>1</v>
      </c>
      <c r="L156" s="188">
        <f t="shared" si="118"/>
        <v>-5000</v>
      </c>
      <c r="M156" s="189">
        <f t="shared" si="110"/>
        <v>0.41199999999999998</v>
      </c>
      <c r="N156" s="198">
        <f t="shared" si="111"/>
        <v>3070.6</v>
      </c>
    </row>
    <row r="157" spans="1:14" ht="27">
      <c r="A157" s="171" t="s">
        <v>289</v>
      </c>
      <c r="B157" s="7" t="s">
        <v>213</v>
      </c>
      <c r="C157" s="138">
        <v>19749.400000000001</v>
      </c>
      <c r="D157" s="138">
        <f>3199.8+20140.7+0.1</f>
        <v>23340.6</v>
      </c>
      <c r="E157" s="5">
        <v>20307.5</v>
      </c>
      <c r="F157" s="5">
        <f>12100.6+1199.9</f>
        <v>13300.5</v>
      </c>
      <c r="G157" s="5">
        <v>10729.3</v>
      </c>
      <c r="H157" s="5">
        <f>12100.6+1199.9</f>
        <v>13300.5</v>
      </c>
      <c r="I157" s="156">
        <f>H157/$H$239</f>
        <v>1.4999999999999999E-2</v>
      </c>
      <c r="J157" s="158">
        <f t="shared" si="112"/>
        <v>0.65500000000000003</v>
      </c>
      <c r="K157" s="199">
        <f t="shared" si="117"/>
        <v>1</v>
      </c>
      <c r="L157" s="188">
        <f t="shared" si="118"/>
        <v>-10040.1</v>
      </c>
      <c r="M157" s="189">
        <f t="shared" si="110"/>
        <v>0.56999999999999995</v>
      </c>
      <c r="N157" s="198">
        <f t="shared" si="111"/>
        <v>2571.1999999999998</v>
      </c>
    </row>
    <row r="158" spans="1:14" s="174" customFormat="1" ht="27" hidden="1" customHeight="1">
      <c r="A158" s="172"/>
      <c r="B158" s="173" t="s">
        <v>168</v>
      </c>
      <c r="C158" s="138">
        <v>0</v>
      </c>
      <c r="D158" s="138">
        <v>0</v>
      </c>
      <c r="E158" s="132">
        <v>2729.5</v>
      </c>
      <c r="F158" s="132">
        <v>2729.5</v>
      </c>
      <c r="G158" s="132">
        <v>2729.5</v>
      </c>
      <c r="H158" s="132">
        <v>2729.5</v>
      </c>
      <c r="I158" s="136">
        <v>0</v>
      </c>
      <c r="J158" s="158">
        <f t="shared" si="112"/>
        <v>1</v>
      </c>
      <c r="K158" s="199">
        <f t="shared" si="117"/>
        <v>1</v>
      </c>
      <c r="L158" s="188">
        <v>0</v>
      </c>
      <c r="M158" s="189" t="e">
        <f t="shared" si="110"/>
        <v>#DIV/0!</v>
      </c>
      <c r="N158" s="198">
        <f t="shared" si="111"/>
        <v>0</v>
      </c>
    </row>
    <row r="159" spans="1:14" ht="12.75" customHeight="1">
      <c r="A159" s="14"/>
      <c r="B159" s="7" t="s">
        <v>27</v>
      </c>
      <c r="C159" s="138"/>
      <c r="D159" s="138"/>
      <c r="E159" s="5"/>
      <c r="F159" s="5"/>
      <c r="G159" s="5"/>
      <c r="H159" s="5"/>
      <c r="I159" s="156"/>
      <c r="J159" s="158"/>
      <c r="K159" s="199"/>
      <c r="L159" s="188"/>
      <c r="M159" s="189"/>
      <c r="N159" s="198"/>
    </row>
    <row r="160" spans="1:14" ht="27">
      <c r="A160" s="14"/>
      <c r="B160" s="123" t="s">
        <v>239</v>
      </c>
      <c r="C160" s="138">
        <f t="shared" ref="C160:H160" si="119">SUM(C161:C165)</f>
        <v>17357.3</v>
      </c>
      <c r="D160" s="138">
        <f t="shared" si="119"/>
        <v>20140.7</v>
      </c>
      <c r="E160" s="138">
        <f t="shared" si="119"/>
        <v>7516.3</v>
      </c>
      <c r="F160" s="138">
        <f t="shared" ref="F160" si="120">SUM(F161:F165)</f>
        <v>12100.6</v>
      </c>
      <c r="G160" s="138">
        <f t="shared" ref="G160" si="121">SUM(G161:G165)</f>
        <v>9860.7000000000007</v>
      </c>
      <c r="H160" s="138">
        <f t="shared" si="119"/>
        <v>12100.6</v>
      </c>
      <c r="I160" s="156">
        <f t="shared" ref="I160:I171" si="122">H160/$H$239</f>
        <v>1.4E-2</v>
      </c>
      <c r="J160" s="158">
        <f t="shared" si="112"/>
        <v>1.61</v>
      </c>
      <c r="K160" s="199">
        <f t="shared" si="117"/>
        <v>1</v>
      </c>
      <c r="L160" s="188">
        <f t="shared" si="118"/>
        <v>-8040.1</v>
      </c>
      <c r="M160" s="189">
        <f t="shared" si="110"/>
        <v>0.60099999999999998</v>
      </c>
      <c r="N160" s="198">
        <f t="shared" si="111"/>
        <v>2239.9</v>
      </c>
    </row>
    <row r="161" spans="1:14">
      <c r="A161" s="90"/>
      <c r="B161" s="223" t="s">
        <v>243</v>
      </c>
      <c r="C161" s="96">
        <v>11456.4</v>
      </c>
      <c r="D161" s="96">
        <v>11456.4</v>
      </c>
      <c r="E161" s="96"/>
      <c r="F161" s="96">
        <v>7059.9</v>
      </c>
      <c r="G161" s="96">
        <v>5520.8</v>
      </c>
      <c r="H161" s="96">
        <v>7059.9</v>
      </c>
      <c r="I161" s="150">
        <f t="shared" si="122"/>
        <v>8.0000000000000002E-3</v>
      </c>
      <c r="J161" s="189"/>
      <c r="K161" s="199">
        <f t="shared" si="117"/>
        <v>1</v>
      </c>
      <c r="L161" s="188">
        <f t="shared" si="118"/>
        <v>-4396.5</v>
      </c>
      <c r="M161" s="189">
        <f t="shared" si="110"/>
        <v>0.61599999999999999</v>
      </c>
      <c r="N161" s="198">
        <f t="shared" si="111"/>
        <v>1539.1</v>
      </c>
    </row>
    <row r="162" spans="1:14">
      <c r="A162" s="84"/>
      <c r="B162" s="85" t="s">
        <v>242</v>
      </c>
      <c r="C162" s="96">
        <v>735.8</v>
      </c>
      <c r="D162" s="96">
        <v>735.8</v>
      </c>
      <c r="E162" s="96">
        <v>3012.6</v>
      </c>
      <c r="F162" s="96">
        <v>308.8</v>
      </c>
      <c r="G162" s="96">
        <v>345.2</v>
      </c>
      <c r="H162" s="96">
        <v>308.8</v>
      </c>
      <c r="I162" s="150">
        <f t="shared" si="122"/>
        <v>0</v>
      </c>
      <c r="J162" s="189">
        <f>H162/E162</f>
        <v>0.10299999999999999</v>
      </c>
      <c r="K162" s="199">
        <f t="shared" si="117"/>
        <v>1</v>
      </c>
      <c r="L162" s="188">
        <f t="shared" ref="L162:L171" si="123">H162-D162</f>
        <v>-427</v>
      </c>
      <c r="M162" s="189">
        <f>H162/D162</f>
        <v>0.42</v>
      </c>
      <c r="N162" s="198">
        <f>H162-G162</f>
        <v>-36.4</v>
      </c>
    </row>
    <row r="163" spans="1:14" ht="13.5" hidden="1" customHeight="1">
      <c r="A163" s="84"/>
      <c r="B163" s="85" t="s">
        <v>151</v>
      </c>
      <c r="C163" s="96">
        <v>0</v>
      </c>
      <c r="D163" s="96">
        <v>0</v>
      </c>
      <c r="E163" s="96">
        <v>163.30000000000001</v>
      </c>
      <c r="F163" s="96">
        <v>0</v>
      </c>
      <c r="G163" s="96">
        <v>0</v>
      </c>
      <c r="H163" s="96">
        <v>0</v>
      </c>
      <c r="I163" s="150">
        <f t="shared" si="122"/>
        <v>0</v>
      </c>
      <c r="J163" s="189">
        <f t="shared" ref="J163:J166" si="124">H163/E163</f>
        <v>0</v>
      </c>
      <c r="K163" s="199" t="e">
        <f t="shared" si="117"/>
        <v>#DIV/0!</v>
      </c>
      <c r="L163" s="188">
        <f t="shared" si="123"/>
        <v>0</v>
      </c>
      <c r="M163" s="189" t="e">
        <f t="shared" ref="M163:M168" si="125">H163/D163</f>
        <v>#DIV/0!</v>
      </c>
      <c r="N163" s="198">
        <f t="shared" ref="N163:N168" si="126">H163-G163</f>
        <v>0</v>
      </c>
    </row>
    <row r="164" spans="1:14" ht="13.5" hidden="1" customHeight="1">
      <c r="A164" s="84"/>
      <c r="B164" s="85" t="s">
        <v>151</v>
      </c>
      <c r="C164" s="96">
        <v>0</v>
      </c>
      <c r="D164" s="96">
        <v>0</v>
      </c>
      <c r="E164" s="96">
        <v>0</v>
      </c>
      <c r="F164" s="96">
        <v>0</v>
      </c>
      <c r="G164" s="96">
        <v>0</v>
      </c>
      <c r="H164" s="96">
        <v>0</v>
      </c>
      <c r="I164" s="150">
        <f t="shared" si="122"/>
        <v>0</v>
      </c>
      <c r="J164" s="189">
        <v>0</v>
      </c>
      <c r="K164" s="199" t="e">
        <f t="shared" si="117"/>
        <v>#DIV/0!</v>
      </c>
      <c r="L164" s="188">
        <f t="shared" si="123"/>
        <v>0</v>
      </c>
      <c r="M164" s="189">
        <v>0</v>
      </c>
      <c r="N164" s="198">
        <f t="shared" si="126"/>
        <v>0</v>
      </c>
    </row>
    <row r="165" spans="1:14">
      <c r="A165" s="84"/>
      <c r="B165" s="85" t="s">
        <v>152</v>
      </c>
      <c r="C165" s="96">
        <v>5165.1000000000004</v>
      </c>
      <c r="D165" s="96">
        <v>7948.5</v>
      </c>
      <c r="E165" s="96">
        <v>4340.3999999999996</v>
      </c>
      <c r="F165" s="96">
        <v>4731.8999999999996</v>
      </c>
      <c r="G165" s="96">
        <v>3994.7</v>
      </c>
      <c r="H165" s="96">
        <v>4731.8999999999996</v>
      </c>
      <c r="I165" s="150">
        <f t="shared" si="122"/>
        <v>5.0000000000000001E-3</v>
      </c>
      <c r="J165" s="189">
        <f t="shared" si="124"/>
        <v>1.0900000000000001</v>
      </c>
      <c r="K165" s="199">
        <f>H165/F165</f>
        <v>1</v>
      </c>
      <c r="L165" s="188">
        <f t="shared" si="123"/>
        <v>-3216.6</v>
      </c>
      <c r="M165" s="189">
        <f t="shared" si="125"/>
        <v>0.59499999999999997</v>
      </c>
      <c r="N165" s="198">
        <f t="shared" si="126"/>
        <v>737.2</v>
      </c>
    </row>
    <row r="166" spans="1:14" ht="27">
      <c r="A166" s="14" t="s">
        <v>237</v>
      </c>
      <c r="B166" s="7" t="s">
        <v>236</v>
      </c>
      <c r="C166" s="138">
        <v>0</v>
      </c>
      <c r="D166" s="138">
        <v>11237.7</v>
      </c>
      <c r="E166" s="5">
        <v>800</v>
      </c>
      <c r="F166" s="5">
        <v>0</v>
      </c>
      <c r="G166" s="5">
        <v>67.8</v>
      </c>
      <c r="H166" s="5">
        <v>0</v>
      </c>
      <c r="I166" s="156">
        <f t="shared" si="122"/>
        <v>0</v>
      </c>
      <c r="J166" s="189">
        <f t="shared" si="124"/>
        <v>0</v>
      </c>
      <c r="K166" s="199">
        <v>0</v>
      </c>
      <c r="L166" s="188">
        <f t="shared" si="123"/>
        <v>-11237.7</v>
      </c>
      <c r="M166" s="189">
        <f t="shared" si="125"/>
        <v>0</v>
      </c>
      <c r="N166" s="198">
        <f t="shared" si="126"/>
        <v>-67.8</v>
      </c>
    </row>
    <row r="167" spans="1:14" ht="54" hidden="1" customHeight="1">
      <c r="A167" s="14" t="s">
        <v>234</v>
      </c>
      <c r="B167" s="7" t="s">
        <v>235</v>
      </c>
      <c r="C167" s="138">
        <v>0</v>
      </c>
      <c r="D167" s="138">
        <v>0</v>
      </c>
      <c r="E167" s="5">
        <v>0</v>
      </c>
      <c r="F167" s="5">
        <v>0</v>
      </c>
      <c r="G167" s="5">
        <v>0</v>
      </c>
      <c r="H167" s="5">
        <v>0</v>
      </c>
      <c r="I167" s="156">
        <f t="shared" si="122"/>
        <v>0</v>
      </c>
      <c r="J167" s="189">
        <v>0</v>
      </c>
      <c r="K167" s="199" t="e">
        <f t="shared" si="117"/>
        <v>#DIV/0!</v>
      </c>
      <c r="L167" s="188">
        <f t="shared" si="123"/>
        <v>0</v>
      </c>
      <c r="M167" s="189" t="e">
        <f t="shared" si="125"/>
        <v>#DIV/0!</v>
      </c>
      <c r="N167" s="198">
        <f t="shared" si="126"/>
        <v>0</v>
      </c>
    </row>
    <row r="168" spans="1:14" ht="13.5" hidden="1" customHeight="1">
      <c r="A168" s="14"/>
      <c r="B168" s="7" t="s">
        <v>174</v>
      </c>
      <c r="C168" s="138">
        <v>0</v>
      </c>
      <c r="D168" s="138">
        <v>0</v>
      </c>
      <c r="E168" s="5"/>
      <c r="F168" s="5">
        <v>0</v>
      </c>
      <c r="G168" s="5">
        <v>0</v>
      </c>
      <c r="H168" s="5">
        <v>0</v>
      </c>
      <c r="I168" s="156">
        <f t="shared" si="122"/>
        <v>0</v>
      </c>
      <c r="J168" s="189"/>
      <c r="K168" s="199" t="e">
        <f t="shared" si="117"/>
        <v>#DIV/0!</v>
      </c>
      <c r="L168" s="188">
        <f t="shared" si="123"/>
        <v>0</v>
      </c>
      <c r="M168" s="189" t="e">
        <f t="shared" si="125"/>
        <v>#DIV/0!</v>
      </c>
      <c r="N168" s="198">
        <f t="shared" si="126"/>
        <v>0</v>
      </c>
    </row>
    <row r="169" spans="1:14" s="1" customFormat="1" ht="27">
      <c r="A169" s="14" t="s">
        <v>56</v>
      </c>
      <c r="B169" s="7" t="s">
        <v>57</v>
      </c>
      <c r="C169" s="138">
        <f>C170</f>
        <v>1990</v>
      </c>
      <c r="D169" s="138">
        <f>D170</f>
        <v>4839.2</v>
      </c>
      <c r="E169" s="138">
        <f t="shared" ref="E169" si="127">E170</f>
        <v>757.8</v>
      </c>
      <c r="F169" s="138">
        <f t="shared" ref="F169:H169" si="128">F170</f>
        <v>2570.1</v>
      </c>
      <c r="G169" s="138">
        <v>680.7</v>
      </c>
      <c r="H169" s="138">
        <f t="shared" si="128"/>
        <v>2570.1</v>
      </c>
      <c r="I169" s="149">
        <f t="shared" si="122"/>
        <v>3.0000000000000001E-3</v>
      </c>
      <c r="J169" s="158">
        <f>H169/E169</f>
        <v>3.3919999999999999</v>
      </c>
      <c r="K169" s="199">
        <f t="shared" si="117"/>
        <v>1</v>
      </c>
      <c r="L169" s="188">
        <f t="shared" si="123"/>
        <v>-2269.1</v>
      </c>
      <c r="M169" s="189">
        <f>H169/D169</f>
        <v>0.53100000000000003</v>
      </c>
      <c r="N169" s="198">
        <f>H169-G169</f>
        <v>1889.4</v>
      </c>
    </row>
    <row r="170" spans="1:14" s="1" customFormat="1" ht="17.25" customHeight="1">
      <c r="A170" s="14"/>
      <c r="B170" s="7" t="s">
        <v>292</v>
      </c>
      <c r="C170" s="138">
        <v>1990</v>
      </c>
      <c r="D170" s="138">
        <v>4839.2</v>
      </c>
      <c r="E170" s="5">
        <v>757.8</v>
      </c>
      <c r="F170" s="5">
        <v>2570.1</v>
      </c>
      <c r="G170" s="5">
        <v>680.7</v>
      </c>
      <c r="H170" s="5">
        <v>2570.1</v>
      </c>
      <c r="I170" s="149">
        <f t="shared" si="122"/>
        <v>3.0000000000000001E-3</v>
      </c>
      <c r="J170" s="158">
        <f>H170/E170</f>
        <v>3.3919999999999999</v>
      </c>
      <c r="K170" s="199">
        <f t="shared" si="117"/>
        <v>1</v>
      </c>
      <c r="L170" s="188">
        <f t="shared" si="123"/>
        <v>-2269.1</v>
      </c>
      <c r="M170" s="189">
        <f t="shared" ref="M170:M175" si="129">H170/D170</f>
        <v>0.53100000000000003</v>
      </c>
      <c r="N170" s="198">
        <f>H170-G170</f>
        <v>1889.4</v>
      </c>
    </row>
    <row r="171" spans="1:14" s="1" customFormat="1" ht="13.5" hidden="1" customHeight="1">
      <c r="A171" s="14"/>
      <c r="B171" s="7" t="s">
        <v>158</v>
      </c>
      <c r="C171" s="87">
        <v>0</v>
      </c>
      <c r="D171" s="138">
        <v>0</v>
      </c>
      <c r="E171" s="5">
        <v>0</v>
      </c>
      <c r="F171" s="5">
        <v>0</v>
      </c>
      <c r="G171" s="5">
        <v>0</v>
      </c>
      <c r="H171" s="5">
        <v>0</v>
      </c>
      <c r="I171" s="149">
        <f t="shared" si="122"/>
        <v>0</v>
      </c>
      <c r="J171" s="158" t="e">
        <f>H171/E171</f>
        <v>#DIV/0!</v>
      </c>
      <c r="K171" s="199" t="e">
        <f t="shared" si="117"/>
        <v>#DIV/0!</v>
      </c>
      <c r="L171" s="188">
        <f t="shared" si="123"/>
        <v>0</v>
      </c>
      <c r="M171" s="189" t="e">
        <f t="shared" si="129"/>
        <v>#DIV/0!</v>
      </c>
      <c r="N171" s="198" t="e">
        <f>H171-#REF!</f>
        <v>#REF!</v>
      </c>
    </row>
    <row r="172" spans="1:14">
      <c r="A172" s="14"/>
      <c r="B172" s="6" t="s">
        <v>119</v>
      </c>
      <c r="C172" s="6"/>
      <c r="D172" s="5"/>
      <c r="E172" s="5"/>
      <c r="F172" s="5"/>
      <c r="G172" s="5"/>
      <c r="H172" s="5"/>
      <c r="I172" s="156"/>
      <c r="J172" s="158"/>
      <c r="K172" s="199"/>
      <c r="L172" s="188"/>
      <c r="M172" s="189"/>
      <c r="N172" s="198"/>
    </row>
    <row r="173" spans="1:14">
      <c r="A173" s="14"/>
      <c r="B173" s="7" t="s">
        <v>95</v>
      </c>
      <c r="C173" s="5">
        <v>11456.4</v>
      </c>
      <c r="D173" s="5">
        <v>11456.4</v>
      </c>
      <c r="E173" s="5">
        <v>3133.2</v>
      </c>
      <c r="F173" s="5">
        <v>7059.9</v>
      </c>
      <c r="G173" s="5">
        <v>5520.8</v>
      </c>
      <c r="H173" s="5">
        <v>7059.9</v>
      </c>
      <c r="I173" s="156">
        <f t="shared" ref="I173:I179" si="130">H173/$H$239</f>
        <v>8.0000000000000002E-3</v>
      </c>
      <c r="J173" s="158">
        <f t="shared" ref="J173:J179" si="131">H173/E173</f>
        <v>2.2530000000000001</v>
      </c>
      <c r="K173" s="199">
        <f t="shared" si="117"/>
        <v>1</v>
      </c>
      <c r="L173" s="188">
        <f t="shared" ref="L173:L179" si="132">H173-D173</f>
        <v>-4396.5</v>
      </c>
      <c r="M173" s="189">
        <f t="shared" si="129"/>
        <v>0.61599999999999999</v>
      </c>
      <c r="N173" s="198">
        <f>H173-G173</f>
        <v>1539.1</v>
      </c>
    </row>
    <row r="174" spans="1:14" s="111" customFormat="1" ht="13.5" hidden="1" customHeight="1">
      <c r="A174" s="218"/>
      <c r="B174" s="219" t="s">
        <v>128</v>
      </c>
      <c r="C174" s="153"/>
      <c r="D174" s="153"/>
      <c r="E174" s="153">
        <v>0</v>
      </c>
      <c r="F174" s="153">
        <v>0</v>
      </c>
      <c r="G174" s="153">
        <v>0</v>
      </c>
      <c r="H174" s="153">
        <v>0</v>
      </c>
      <c r="I174" s="220">
        <f t="shared" si="130"/>
        <v>0</v>
      </c>
      <c r="J174" s="158" t="e">
        <f t="shared" si="131"/>
        <v>#DIV/0!</v>
      </c>
      <c r="K174" s="199" t="e">
        <f t="shared" si="117"/>
        <v>#DIV/0!</v>
      </c>
      <c r="L174" s="201">
        <f t="shared" si="132"/>
        <v>0</v>
      </c>
      <c r="M174" s="189" t="e">
        <f t="shared" si="129"/>
        <v>#DIV/0!</v>
      </c>
      <c r="N174" s="198">
        <f t="shared" ref="N174:N175" si="133">H174-G174</f>
        <v>0</v>
      </c>
    </row>
    <row r="175" spans="1:14">
      <c r="A175" s="14"/>
      <c r="B175" s="16" t="s">
        <v>133</v>
      </c>
      <c r="C175" s="138">
        <v>162791.20000000001</v>
      </c>
      <c r="D175" s="138">
        <v>189368.9</v>
      </c>
      <c r="E175" s="138">
        <v>150235.79999999999</v>
      </c>
      <c r="F175" s="138">
        <v>113054.1</v>
      </c>
      <c r="G175" s="138">
        <v>101662.1</v>
      </c>
      <c r="H175" s="138">
        <v>113054.1</v>
      </c>
      <c r="I175" s="156">
        <f t="shared" si="130"/>
        <v>0.129</v>
      </c>
      <c r="J175" s="158">
        <f t="shared" si="131"/>
        <v>0.753</v>
      </c>
      <c r="K175" s="199">
        <f t="shared" si="117"/>
        <v>1</v>
      </c>
      <c r="L175" s="188">
        <f t="shared" si="132"/>
        <v>-76314.8</v>
      </c>
      <c r="M175" s="189">
        <f t="shared" si="129"/>
        <v>0.59699999999999998</v>
      </c>
      <c r="N175" s="198">
        <f t="shared" si="133"/>
        <v>11392</v>
      </c>
    </row>
    <row r="176" spans="1:14" s="22" customFormat="1">
      <c r="A176" s="65" t="s">
        <v>106</v>
      </c>
      <c r="B176" s="71" t="s">
        <v>105</v>
      </c>
      <c r="C176" s="66">
        <f>C177+C192</f>
        <v>15907.3</v>
      </c>
      <c r="D176" s="66">
        <f>D177+D192</f>
        <v>16324.3</v>
      </c>
      <c r="E176" s="66">
        <f t="shared" ref="E176:G176" si="134">E177+E192</f>
        <v>9131.2999999999993</v>
      </c>
      <c r="F176" s="66">
        <f t="shared" si="134"/>
        <v>10354.799999999999</v>
      </c>
      <c r="G176" s="66">
        <f t="shared" si="134"/>
        <v>9902.2000000000007</v>
      </c>
      <c r="H176" s="66">
        <f t="shared" ref="H176" si="135">H177+H192</f>
        <v>10354.799999999999</v>
      </c>
      <c r="I176" s="67">
        <f t="shared" si="130"/>
        <v>1.2E-2</v>
      </c>
      <c r="J176" s="158">
        <f t="shared" si="131"/>
        <v>1.1339999999999999</v>
      </c>
      <c r="K176" s="158">
        <f>H176/F176</f>
        <v>1</v>
      </c>
      <c r="L176" s="159">
        <f>H176-D176</f>
        <v>-5969.5</v>
      </c>
      <c r="M176" s="158">
        <f t="shared" ref="M176:M179" si="136">H176/D176</f>
        <v>0.63400000000000001</v>
      </c>
      <c r="N176" s="160">
        <f>H176-G176</f>
        <v>452.6</v>
      </c>
    </row>
    <row r="177" spans="1:14" s="33" customFormat="1">
      <c r="A177" s="88" t="s">
        <v>44</v>
      </c>
      <c r="B177" s="89" t="s">
        <v>52</v>
      </c>
      <c r="C177" s="152">
        <f>C178+C179</f>
        <v>15134.3</v>
      </c>
      <c r="D177" s="152">
        <f t="shared" ref="D177:H177" si="137">D178+D179</f>
        <v>15551.3</v>
      </c>
      <c r="E177" s="152">
        <f t="shared" si="137"/>
        <v>9131.2999999999993</v>
      </c>
      <c r="F177" s="152">
        <f t="shared" si="137"/>
        <v>9706.1</v>
      </c>
      <c r="G177" s="152">
        <f t="shared" ref="G177" si="138">G178+G179</f>
        <v>9430.2999999999993</v>
      </c>
      <c r="H177" s="152">
        <f t="shared" si="137"/>
        <v>9706.1</v>
      </c>
      <c r="I177" s="77">
        <f t="shared" si="130"/>
        <v>1.0999999999999999E-2</v>
      </c>
      <c r="J177" s="158">
        <f t="shared" si="131"/>
        <v>1.0629999999999999</v>
      </c>
      <c r="K177" s="199">
        <f t="shared" ref="K177:K239" si="139">H177/F177</f>
        <v>1</v>
      </c>
      <c r="L177" s="188">
        <f t="shared" si="132"/>
        <v>-5845.2</v>
      </c>
      <c r="M177" s="189">
        <f t="shared" si="136"/>
        <v>0.624</v>
      </c>
      <c r="N177" s="198">
        <f>H177-G177</f>
        <v>275.8</v>
      </c>
    </row>
    <row r="178" spans="1:14" ht="40.5">
      <c r="A178" s="15">
        <v>611</v>
      </c>
      <c r="B178" s="7" t="s">
        <v>93</v>
      </c>
      <c r="C178" s="5">
        <v>13497.9</v>
      </c>
      <c r="D178" s="5">
        <v>12598.6</v>
      </c>
      <c r="E178" s="5">
        <v>7072.1</v>
      </c>
      <c r="F178" s="5">
        <v>7325.4</v>
      </c>
      <c r="G178" s="5">
        <v>8453.5</v>
      </c>
      <c r="H178" s="5">
        <v>7325.4</v>
      </c>
      <c r="I178" s="156">
        <f t="shared" si="130"/>
        <v>8.0000000000000002E-3</v>
      </c>
      <c r="J178" s="158">
        <f t="shared" si="131"/>
        <v>1.036</v>
      </c>
      <c r="K178" s="199">
        <f t="shared" si="139"/>
        <v>1</v>
      </c>
      <c r="L178" s="188">
        <f t="shared" si="132"/>
        <v>-5273.2</v>
      </c>
      <c r="M178" s="189">
        <f t="shared" si="136"/>
        <v>0.58099999999999996</v>
      </c>
      <c r="N178" s="198">
        <f>H178-G178</f>
        <v>-1128.0999999999999</v>
      </c>
    </row>
    <row r="179" spans="1:14">
      <c r="A179" s="15">
        <v>612</v>
      </c>
      <c r="B179" s="7" t="s">
        <v>177</v>
      </c>
      <c r="C179" s="5">
        <v>1636.4</v>
      </c>
      <c r="D179" s="5">
        <v>2952.7</v>
      </c>
      <c r="E179" s="5">
        <f>3259.1-1199.9</f>
        <v>2059.1999999999998</v>
      </c>
      <c r="F179" s="5">
        <v>2380.6999999999998</v>
      </c>
      <c r="G179" s="5">
        <f>976.9-0.1</f>
        <v>976.8</v>
      </c>
      <c r="H179" s="5">
        <v>2380.6999999999998</v>
      </c>
      <c r="I179" s="156">
        <f t="shared" si="130"/>
        <v>3.0000000000000001E-3</v>
      </c>
      <c r="J179" s="189">
        <f t="shared" si="131"/>
        <v>1.1559999999999999</v>
      </c>
      <c r="K179" s="199">
        <f t="shared" si="139"/>
        <v>1</v>
      </c>
      <c r="L179" s="188">
        <f t="shared" si="132"/>
        <v>-572</v>
      </c>
      <c r="M179" s="189">
        <f t="shared" si="136"/>
        <v>0.80600000000000005</v>
      </c>
      <c r="N179" s="198">
        <f>H179-G179</f>
        <v>1403.9</v>
      </c>
    </row>
    <row r="180" spans="1:14">
      <c r="A180" s="90"/>
      <c r="B180" s="91" t="s">
        <v>167</v>
      </c>
      <c r="C180" s="91"/>
      <c r="D180" s="92"/>
      <c r="E180" s="92"/>
      <c r="F180" s="92"/>
      <c r="G180" s="92"/>
      <c r="H180" s="92"/>
      <c r="I180" s="150"/>
      <c r="J180" s="189"/>
      <c r="K180" s="199"/>
      <c r="L180" s="188"/>
      <c r="M180" s="189"/>
      <c r="N180" s="198"/>
    </row>
    <row r="181" spans="1:14" ht="27">
      <c r="A181" s="84" t="s">
        <v>247</v>
      </c>
      <c r="B181" s="85" t="s">
        <v>273</v>
      </c>
      <c r="C181" s="92">
        <v>12653.5</v>
      </c>
      <c r="D181" s="92">
        <v>12610.2</v>
      </c>
      <c r="E181" s="92">
        <v>8514.6</v>
      </c>
      <c r="F181" s="92">
        <v>7677.5</v>
      </c>
      <c r="G181" s="92">
        <v>8741.2000000000007</v>
      </c>
      <c r="H181" s="92">
        <v>7677.5</v>
      </c>
      <c r="I181" s="150">
        <f t="shared" ref="I181:I187" si="140">H181/$H$239</f>
        <v>8.9999999999999993E-3</v>
      </c>
      <c r="J181" s="189">
        <f>H181/E181</f>
        <v>0.90200000000000002</v>
      </c>
      <c r="K181" s="199">
        <f t="shared" si="139"/>
        <v>1</v>
      </c>
      <c r="L181" s="188">
        <f t="shared" ref="L181:L187" si="141">H181-D181</f>
        <v>-4932.7</v>
      </c>
      <c r="M181" s="189">
        <f t="shared" ref="M181:M186" si="142">H181/D181</f>
        <v>0.60899999999999999</v>
      </c>
      <c r="N181" s="198">
        <f>H181-G181</f>
        <v>-1063.7</v>
      </c>
    </row>
    <row r="182" spans="1:14" ht="27">
      <c r="A182" s="84" t="s">
        <v>247</v>
      </c>
      <c r="B182" s="85" t="s">
        <v>274</v>
      </c>
      <c r="C182" s="92">
        <v>1400</v>
      </c>
      <c r="D182" s="92">
        <v>1400</v>
      </c>
      <c r="E182" s="92"/>
      <c r="F182" s="92">
        <v>1399</v>
      </c>
      <c r="G182" s="92">
        <v>0</v>
      </c>
      <c r="H182" s="92">
        <v>1399</v>
      </c>
      <c r="I182" s="150">
        <f t="shared" si="140"/>
        <v>2E-3</v>
      </c>
      <c r="J182" s="189"/>
      <c r="K182" s="199">
        <f t="shared" si="139"/>
        <v>1</v>
      </c>
      <c r="L182" s="188">
        <f t="shared" si="141"/>
        <v>-1</v>
      </c>
      <c r="M182" s="189">
        <f t="shared" si="142"/>
        <v>0.999</v>
      </c>
      <c r="N182" s="198">
        <f>H182-G182</f>
        <v>1399</v>
      </c>
    </row>
    <row r="183" spans="1:14">
      <c r="A183" s="84" t="s">
        <v>248</v>
      </c>
      <c r="B183" s="85" t="s">
        <v>153</v>
      </c>
      <c r="C183" s="92">
        <v>53.4</v>
      </c>
      <c r="D183" s="92">
        <v>53.4</v>
      </c>
      <c r="E183" s="92">
        <v>39.1</v>
      </c>
      <c r="F183" s="92">
        <v>35.700000000000003</v>
      </c>
      <c r="G183" s="92">
        <v>36.5</v>
      </c>
      <c r="H183" s="92">
        <v>35.700000000000003</v>
      </c>
      <c r="I183" s="150">
        <f t="shared" si="140"/>
        <v>0</v>
      </c>
      <c r="J183" s="189">
        <f>H183/E183</f>
        <v>0.91300000000000003</v>
      </c>
      <c r="K183" s="199">
        <f t="shared" si="139"/>
        <v>1</v>
      </c>
      <c r="L183" s="188">
        <f t="shared" si="141"/>
        <v>-17.7</v>
      </c>
      <c r="M183" s="189">
        <f t="shared" si="142"/>
        <v>0.66900000000000004</v>
      </c>
      <c r="N183" s="198">
        <f t="shared" ref="N183:N186" si="143">H183-G183</f>
        <v>-0.8</v>
      </c>
    </row>
    <row r="184" spans="1:14">
      <c r="A184" s="84" t="s">
        <v>249</v>
      </c>
      <c r="B184" s="85" t="s">
        <v>98</v>
      </c>
      <c r="C184" s="92">
        <v>655.29999999999995</v>
      </c>
      <c r="D184" s="92">
        <v>601.4</v>
      </c>
      <c r="E184" s="92">
        <v>477.9</v>
      </c>
      <c r="F184" s="92">
        <v>464.6</v>
      </c>
      <c r="G184" s="92">
        <v>547.5</v>
      </c>
      <c r="H184" s="92">
        <v>464.6</v>
      </c>
      <c r="I184" s="150">
        <f t="shared" si="140"/>
        <v>1E-3</v>
      </c>
      <c r="J184" s="189">
        <f>H184/E184</f>
        <v>0.97199999999999998</v>
      </c>
      <c r="K184" s="199">
        <f t="shared" si="139"/>
        <v>1</v>
      </c>
      <c r="L184" s="188">
        <f t="shared" si="141"/>
        <v>-136.80000000000001</v>
      </c>
      <c r="M184" s="189">
        <f t="shared" si="142"/>
        <v>0.77300000000000002</v>
      </c>
      <c r="N184" s="198">
        <f t="shared" si="143"/>
        <v>-82.9</v>
      </c>
    </row>
    <row r="185" spans="1:14">
      <c r="A185" s="84" t="s">
        <v>250</v>
      </c>
      <c r="B185" s="85" t="s">
        <v>151</v>
      </c>
      <c r="C185" s="92">
        <v>167.7</v>
      </c>
      <c r="D185" s="92">
        <v>67.599999999999994</v>
      </c>
      <c r="E185" s="92">
        <v>16.8</v>
      </c>
      <c r="F185" s="92">
        <v>9.6</v>
      </c>
      <c r="G185" s="92">
        <v>30.6</v>
      </c>
      <c r="H185" s="92">
        <v>9.6</v>
      </c>
      <c r="I185" s="150">
        <f t="shared" si="140"/>
        <v>0</v>
      </c>
      <c r="J185" s="189">
        <v>0</v>
      </c>
      <c r="K185" s="199">
        <f>H185/F185</f>
        <v>1</v>
      </c>
      <c r="L185" s="188">
        <f t="shared" si="141"/>
        <v>-58</v>
      </c>
      <c r="M185" s="189">
        <f t="shared" si="142"/>
        <v>0.14199999999999999</v>
      </c>
      <c r="N185" s="198">
        <f t="shared" si="143"/>
        <v>-21</v>
      </c>
    </row>
    <row r="186" spans="1:14">
      <c r="A186" s="84"/>
      <c r="B186" s="85" t="s">
        <v>275</v>
      </c>
      <c r="C186" s="92">
        <v>204.4</v>
      </c>
      <c r="D186" s="92">
        <v>818.7</v>
      </c>
      <c r="E186" s="92">
        <v>82.9</v>
      </c>
      <c r="F186" s="92">
        <v>119.7</v>
      </c>
      <c r="G186" s="92">
        <v>74.5</v>
      </c>
      <c r="H186" s="92">
        <v>119.7</v>
      </c>
      <c r="I186" s="150">
        <f t="shared" si="140"/>
        <v>0</v>
      </c>
      <c r="J186" s="189">
        <f t="shared" ref="J186:J198" si="144">H186/E186</f>
        <v>1.444</v>
      </c>
      <c r="K186" s="199">
        <f t="shared" si="139"/>
        <v>1</v>
      </c>
      <c r="L186" s="188">
        <f t="shared" si="141"/>
        <v>-699</v>
      </c>
      <c r="M186" s="189">
        <f t="shared" si="142"/>
        <v>0.14599999999999999</v>
      </c>
      <c r="N186" s="198">
        <f t="shared" si="143"/>
        <v>45.2</v>
      </c>
    </row>
    <row r="187" spans="1:14" ht="13.5" hidden="1" customHeight="1">
      <c r="A187" s="15">
        <v>612</v>
      </c>
      <c r="B187" s="7" t="s">
        <v>94</v>
      </c>
      <c r="C187" s="86"/>
      <c r="D187" s="100"/>
      <c r="E187" s="100"/>
      <c r="F187" s="100"/>
      <c r="G187" s="100"/>
      <c r="H187" s="100"/>
      <c r="I187" s="149">
        <f t="shared" si="140"/>
        <v>0</v>
      </c>
      <c r="J187" s="158" t="e">
        <f t="shared" si="144"/>
        <v>#DIV/0!</v>
      </c>
      <c r="K187" s="199" t="e">
        <f t="shared" si="139"/>
        <v>#DIV/0!</v>
      </c>
      <c r="L187" s="188">
        <f t="shared" si="141"/>
        <v>0</v>
      </c>
      <c r="M187" s="189" t="e">
        <f>H187/D187</f>
        <v>#DIV/0!</v>
      </c>
      <c r="N187" s="198" t="e">
        <f>H187-#REF!</f>
        <v>#REF!</v>
      </c>
    </row>
    <row r="188" spans="1:14" ht="13.5" hidden="1" customHeight="1">
      <c r="A188" s="124"/>
      <c r="B188" s="125" t="s">
        <v>27</v>
      </c>
      <c r="C188" s="87"/>
      <c r="D188" s="146"/>
      <c r="E188" s="146"/>
      <c r="F188" s="146"/>
      <c r="G188" s="146"/>
      <c r="H188" s="146"/>
      <c r="I188" s="149"/>
      <c r="J188" s="158" t="e">
        <f t="shared" si="144"/>
        <v>#DIV/0!</v>
      </c>
      <c r="K188" s="199" t="e">
        <f t="shared" si="139"/>
        <v>#DIV/0!</v>
      </c>
      <c r="L188" s="188"/>
      <c r="M188" s="189" t="e">
        <f>H188/D188</f>
        <v>#DIV/0!</v>
      </c>
      <c r="N188" s="198"/>
    </row>
    <row r="189" spans="1:14" ht="27" hidden="1" customHeight="1">
      <c r="A189" s="124"/>
      <c r="B189" s="125" t="s">
        <v>155</v>
      </c>
      <c r="C189" s="87"/>
      <c r="D189" s="146"/>
      <c r="E189" s="146"/>
      <c r="F189" s="146"/>
      <c r="G189" s="146"/>
      <c r="H189" s="146"/>
      <c r="I189" s="149">
        <f t="shared" ref="I189:I198" si="145">H189/$H$239</f>
        <v>0</v>
      </c>
      <c r="J189" s="158" t="e">
        <f t="shared" si="144"/>
        <v>#DIV/0!</v>
      </c>
      <c r="K189" s="199" t="e">
        <f t="shared" si="139"/>
        <v>#DIV/0!</v>
      </c>
      <c r="L189" s="188">
        <f t="shared" ref="L189:L196" si="146">H189-D189</f>
        <v>0</v>
      </c>
      <c r="M189" s="189" t="e">
        <f>H189/D189</f>
        <v>#DIV/0!</v>
      </c>
      <c r="N189" s="198" t="e">
        <f>H189-#REF!</f>
        <v>#REF!</v>
      </c>
    </row>
    <row r="190" spans="1:14">
      <c r="A190" s="14"/>
      <c r="B190" s="225" t="s">
        <v>269</v>
      </c>
      <c r="C190" s="138">
        <v>0</v>
      </c>
      <c r="D190" s="146">
        <v>571</v>
      </c>
      <c r="E190" s="146">
        <v>1199.9000000000001</v>
      </c>
      <c r="F190" s="146">
        <v>0</v>
      </c>
      <c r="G190" s="232">
        <v>0</v>
      </c>
      <c r="H190" s="232">
        <v>0</v>
      </c>
      <c r="I190" s="149">
        <f t="shared" si="145"/>
        <v>0</v>
      </c>
      <c r="J190" s="189">
        <f t="shared" si="144"/>
        <v>0</v>
      </c>
      <c r="K190" s="199">
        <v>0</v>
      </c>
      <c r="L190" s="188">
        <f t="shared" si="146"/>
        <v>-571</v>
      </c>
      <c r="M190" s="189">
        <f>H190/D190</f>
        <v>0</v>
      </c>
      <c r="N190" s="198">
        <f>H190-G190</f>
        <v>0</v>
      </c>
    </row>
    <row r="191" spans="1:14">
      <c r="A191" s="14"/>
      <c r="B191" s="227" t="s">
        <v>276</v>
      </c>
      <c r="C191" s="138">
        <v>38.200000000000003</v>
      </c>
      <c r="D191" s="146">
        <v>38.200000000000003</v>
      </c>
      <c r="E191" s="146"/>
      <c r="F191" s="146">
        <v>0</v>
      </c>
      <c r="G191" s="232">
        <v>0</v>
      </c>
      <c r="H191" s="232">
        <v>0</v>
      </c>
      <c r="I191" s="149">
        <f t="shared" si="145"/>
        <v>0</v>
      </c>
      <c r="J191" s="189"/>
      <c r="K191" s="199">
        <v>0</v>
      </c>
      <c r="L191" s="188">
        <f t="shared" si="146"/>
        <v>-38.200000000000003</v>
      </c>
      <c r="M191" s="189">
        <f>H191/D191</f>
        <v>0</v>
      </c>
      <c r="N191" s="198">
        <f>H191-G191</f>
        <v>0</v>
      </c>
    </row>
    <row r="192" spans="1:14" s="22" customFormat="1">
      <c r="A192" s="65" t="s">
        <v>244</v>
      </c>
      <c r="B192" s="71" t="s">
        <v>245</v>
      </c>
      <c r="C192" s="66">
        <f>C193</f>
        <v>773</v>
      </c>
      <c r="D192" s="66">
        <f>D193</f>
        <v>773</v>
      </c>
      <c r="E192" s="66">
        <f t="shared" ref="E192:F192" si="147">E193</f>
        <v>0</v>
      </c>
      <c r="F192" s="66">
        <f t="shared" si="147"/>
        <v>648.70000000000005</v>
      </c>
      <c r="G192" s="66">
        <f t="shared" ref="G192:H192" si="148">G193</f>
        <v>471.9</v>
      </c>
      <c r="H192" s="66">
        <f t="shared" si="148"/>
        <v>648.70000000000005</v>
      </c>
      <c r="I192" s="67">
        <f t="shared" si="145"/>
        <v>1E-3</v>
      </c>
      <c r="J192" s="158"/>
      <c r="K192" s="158">
        <f t="shared" si="139"/>
        <v>1</v>
      </c>
      <c r="L192" s="159">
        <f t="shared" si="146"/>
        <v>-124.3</v>
      </c>
      <c r="M192" s="158">
        <f t="shared" ref="M192:M196" si="149">H192/D192</f>
        <v>0.83899999999999997</v>
      </c>
      <c r="N192" s="160">
        <f>H192-G192</f>
        <v>176.8</v>
      </c>
    </row>
    <row r="193" spans="1:14">
      <c r="A193" s="14"/>
      <c r="B193" s="7" t="s">
        <v>246</v>
      </c>
      <c r="C193" s="138">
        <v>773</v>
      </c>
      <c r="D193" s="138">
        <v>773</v>
      </c>
      <c r="E193" s="138"/>
      <c r="F193" s="138">
        <v>648.70000000000005</v>
      </c>
      <c r="G193" s="138">
        <v>471.9</v>
      </c>
      <c r="H193" s="138">
        <v>648.70000000000005</v>
      </c>
      <c r="I193" s="141">
        <f t="shared" si="145"/>
        <v>1E-3</v>
      </c>
      <c r="J193" s="156"/>
      <c r="K193" s="199">
        <f t="shared" si="139"/>
        <v>1</v>
      </c>
      <c r="L193" s="188">
        <f t="shared" si="146"/>
        <v>-124.3</v>
      </c>
      <c r="M193" s="189">
        <f t="shared" si="149"/>
        <v>0.83899999999999997</v>
      </c>
      <c r="N193" s="198">
        <f t="shared" ref="N193" si="150">H193-G193</f>
        <v>176.8</v>
      </c>
    </row>
    <row r="194" spans="1:14" s="22" customFormat="1">
      <c r="A194" s="65" t="s">
        <v>58</v>
      </c>
      <c r="B194" s="69" t="s">
        <v>96</v>
      </c>
      <c r="C194" s="137">
        <f>C195</f>
        <v>79645.5</v>
      </c>
      <c r="D194" s="137">
        <f t="shared" ref="D194:H194" si="151">D195</f>
        <v>97488.8</v>
      </c>
      <c r="E194" s="137">
        <f t="shared" si="151"/>
        <v>50489.5</v>
      </c>
      <c r="F194" s="137">
        <f t="shared" si="151"/>
        <v>68690</v>
      </c>
      <c r="G194" s="137">
        <f t="shared" si="151"/>
        <v>53840.1</v>
      </c>
      <c r="H194" s="137">
        <f t="shared" si="151"/>
        <v>68690</v>
      </c>
      <c r="I194" s="67">
        <f t="shared" si="145"/>
        <v>7.8E-2</v>
      </c>
      <c r="J194" s="158">
        <f t="shared" si="144"/>
        <v>1.36</v>
      </c>
      <c r="K194" s="158">
        <f t="shared" si="139"/>
        <v>1</v>
      </c>
      <c r="L194" s="159">
        <f t="shared" si="146"/>
        <v>-28798.799999999999</v>
      </c>
      <c r="M194" s="158">
        <f t="shared" si="149"/>
        <v>0.70499999999999996</v>
      </c>
      <c r="N194" s="160">
        <f>H194-G194</f>
        <v>14849.9</v>
      </c>
    </row>
    <row r="195" spans="1:14" s="33" customFormat="1">
      <c r="A195" s="88" t="s">
        <v>60</v>
      </c>
      <c r="B195" s="89" t="s">
        <v>59</v>
      </c>
      <c r="C195" s="151">
        <f>C196+C198</f>
        <v>79645.5</v>
      </c>
      <c r="D195" s="151">
        <f>D196+D198</f>
        <v>97488.8</v>
      </c>
      <c r="E195" s="151">
        <f t="shared" ref="E195:G195" si="152">E196+E198</f>
        <v>50489.5</v>
      </c>
      <c r="F195" s="151">
        <f t="shared" si="152"/>
        <v>68690</v>
      </c>
      <c r="G195" s="151">
        <f t="shared" si="152"/>
        <v>53840.1</v>
      </c>
      <c r="H195" s="151">
        <f t="shared" ref="H195" si="153">H196+H198</f>
        <v>68690</v>
      </c>
      <c r="I195" s="77">
        <f t="shared" si="145"/>
        <v>7.8E-2</v>
      </c>
      <c r="J195" s="158">
        <f t="shared" si="144"/>
        <v>1.36</v>
      </c>
      <c r="K195" s="199">
        <f t="shared" si="139"/>
        <v>1</v>
      </c>
      <c r="L195" s="188">
        <f t="shared" si="146"/>
        <v>-28798.799999999999</v>
      </c>
      <c r="M195" s="189">
        <f t="shared" si="149"/>
        <v>0.70499999999999996</v>
      </c>
      <c r="N195" s="198">
        <f>H195-G195</f>
        <v>14849.9</v>
      </c>
    </row>
    <row r="196" spans="1:14" ht="45" customHeight="1">
      <c r="A196" s="15">
        <v>611</v>
      </c>
      <c r="B196" s="7" t="s">
        <v>93</v>
      </c>
      <c r="C196" s="5">
        <v>53108.2</v>
      </c>
      <c r="D196" s="100">
        <v>51416</v>
      </c>
      <c r="E196" s="100">
        <v>29543.5</v>
      </c>
      <c r="F196" s="100">
        <v>38521.599999999999</v>
      </c>
      <c r="G196" s="100">
        <v>31930</v>
      </c>
      <c r="H196" s="100">
        <v>38521.599999999999</v>
      </c>
      <c r="I196" s="149">
        <f t="shared" si="145"/>
        <v>4.3999999999999997E-2</v>
      </c>
      <c r="J196" s="158">
        <f t="shared" si="144"/>
        <v>1.304</v>
      </c>
      <c r="K196" s="199">
        <f t="shared" si="139"/>
        <v>1</v>
      </c>
      <c r="L196" s="188">
        <f t="shared" si="146"/>
        <v>-12894.4</v>
      </c>
      <c r="M196" s="189">
        <f t="shared" si="149"/>
        <v>0.749</v>
      </c>
      <c r="N196" s="198">
        <f>H196-G196</f>
        <v>6591.6</v>
      </c>
    </row>
    <row r="197" spans="1:14" ht="13.5" hidden="1" customHeight="1">
      <c r="A197" s="15"/>
      <c r="B197" s="8" t="s">
        <v>97</v>
      </c>
      <c r="C197" s="5"/>
      <c r="D197" s="100"/>
      <c r="E197" s="100"/>
      <c r="F197" s="100">
        <f t="shared" ref="F197:H197" si="154">D197</f>
        <v>0</v>
      </c>
      <c r="G197" s="100">
        <f t="shared" si="154"/>
        <v>0</v>
      </c>
      <c r="H197" s="100">
        <f t="shared" si="154"/>
        <v>0</v>
      </c>
      <c r="I197" s="149">
        <f t="shared" si="145"/>
        <v>0</v>
      </c>
      <c r="J197" s="158" t="e">
        <f t="shared" si="144"/>
        <v>#DIV/0!</v>
      </c>
      <c r="K197" s="158" t="e">
        <f t="shared" si="139"/>
        <v>#DIV/0!</v>
      </c>
      <c r="L197" s="188"/>
      <c r="M197" s="189"/>
      <c r="N197" s="198"/>
    </row>
    <row r="198" spans="1:14" ht="13.5" customHeight="1">
      <c r="A198" s="15">
        <v>612</v>
      </c>
      <c r="B198" s="8" t="s">
        <v>94</v>
      </c>
      <c r="C198" s="5">
        <v>26537.3</v>
      </c>
      <c r="D198" s="100">
        <v>46072.800000000003</v>
      </c>
      <c r="E198" s="100">
        <f>20945.9+0.1</f>
        <v>20946</v>
      </c>
      <c r="F198" s="100">
        <v>30168.400000000001</v>
      </c>
      <c r="G198" s="100">
        <v>21910.1</v>
      </c>
      <c r="H198" s="100">
        <v>30168.400000000001</v>
      </c>
      <c r="I198" s="149">
        <f t="shared" si="145"/>
        <v>3.4000000000000002E-2</v>
      </c>
      <c r="J198" s="158">
        <f t="shared" si="144"/>
        <v>1.44</v>
      </c>
      <c r="K198" s="199">
        <f t="shared" si="139"/>
        <v>1</v>
      </c>
      <c r="L198" s="188">
        <f>H198-D198</f>
        <v>-15904.4</v>
      </c>
      <c r="M198" s="189">
        <f>H198/D198</f>
        <v>0.65500000000000003</v>
      </c>
      <c r="N198" s="198">
        <f>H198-G198</f>
        <v>8258.2999999999993</v>
      </c>
    </row>
    <row r="199" spans="1:14">
      <c r="A199" s="90"/>
      <c r="B199" s="91" t="s">
        <v>167</v>
      </c>
      <c r="C199" s="91"/>
      <c r="D199" s="92"/>
      <c r="E199" s="92"/>
      <c r="F199" s="92"/>
      <c r="G199" s="92"/>
      <c r="H199" s="92"/>
      <c r="I199" s="150"/>
      <c r="J199" s="189"/>
      <c r="K199" s="158"/>
      <c r="L199" s="188"/>
      <c r="M199" s="189"/>
      <c r="N199" s="198"/>
    </row>
    <row r="200" spans="1:14">
      <c r="A200" s="90" t="s">
        <v>247</v>
      </c>
      <c r="B200" s="85" t="s">
        <v>95</v>
      </c>
      <c r="C200" s="86">
        <v>67721.899999999994</v>
      </c>
      <c r="D200" s="92">
        <v>71569.100000000006</v>
      </c>
      <c r="E200" s="92">
        <v>44529.5</v>
      </c>
      <c r="F200" s="92">
        <v>54455.4</v>
      </c>
      <c r="G200" s="92">
        <v>46505.5</v>
      </c>
      <c r="H200" s="92">
        <v>54455.4</v>
      </c>
      <c r="I200" s="150">
        <f t="shared" ref="I200:I205" si="155">H200/$H$239</f>
        <v>6.2E-2</v>
      </c>
      <c r="J200" s="189">
        <f t="shared" ref="J200:J208" si="156">H200/E200</f>
        <v>1.2230000000000001</v>
      </c>
      <c r="K200" s="199">
        <f t="shared" si="139"/>
        <v>1</v>
      </c>
      <c r="L200" s="188">
        <f t="shared" ref="L200:L205" si="157">H200-D200</f>
        <v>-17113.7</v>
      </c>
      <c r="M200" s="189">
        <f t="shared" ref="M200:M205" si="158">H200/D200</f>
        <v>0.76100000000000001</v>
      </c>
      <c r="N200" s="198">
        <f>H200-G200</f>
        <v>7949.9</v>
      </c>
    </row>
    <row r="201" spans="1:14">
      <c r="A201" s="90" t="s">
        <v>248</v>
      </c>
      <c r="B201" s="85" t="s">
        <v>154</v>
      </c>
      <c r="C201" s="86">
        <v>338.4</v>
      </c>
      <c r="D201" s="92">
        <v>379.6</v>
      </c>
      <c r="E201" s="92">
        <v>201</v>
      </c>
      <c r="F201" s="92">
        <v>232.7</v>
      </c>
      <c r="G201" s="92">
        <v>197.4</v>
      </c>
      <c r="H201" s="92">
        <v>232.7</v>
      </c>
      <c r="I201" s="150">
        <f t="shared" si="155"/>
        <v>0</v>
      </c>
      <c r="J201" s="189">
        <f t="shared" si="156"/>
        <v>1.1579999999999999</v>
      </c>
      <c r="K201" s="199">
        <f t="shared" si="139"/>
        <v>1</v>
      </c>
      <c r="L201" s="188">
        <f t="shared" si="157"/>
        <v>-146.9</v>
      </c>
      <c r="M201" s="189">
        <f t="shared" si="158"/>
        <v>0.61299999999999999</v>
      </c>
      <c r="N201" s="198">
        <f t="shared" ref="N201:N204" si="159">H201-G201</f>
        <v>35.299999999999997</v>
      </c>
    </row>
    <row r="202" spans="1:14">
      <c r="A202" s="84" t="s">
        <v>249</v>
      </c>
      <c r="B202" s="85" t="s">
        <v>98</v>
      </c>
      <c r="C202" s="86">
        <v>6527.6</v>
      </c>
      <c r="D202" s="92">
        <v>8811.1</v>
      </c>
      <c r="E202" s="92">
        <v>4385.8999999999996</v>
      </c>
      <c r="F202" s="92">
        <v>4933.1000000000004</v>
      </c>
      <c r="G202" s="92">
        <v>3174.6</v>
      </c>
      <c r="H202" s="92">
        <v>4933.1000000000004</v>
      </c>
      <c r="I202" s="150">
        <f t="shared" si="155"/>
        <v>6.0000000000000001E-3</v>
      </c>
      <c r="J202" s="189">
        <f t="shared" si="156"/>
        <v>1.125</v>
      </c>
      <c r="K202" s="199">
        <f t="shared" si="139"/>
        <v>1</v>
      </c>
      <c r="L202" s="188">
        <f t="shared" si="157"/>
        <v>-3878</v>
      </c>
      <c r="M202" s="189">
        <f t="shared" si="158"/>
        <v>0.56000000000000005</v>
      </c>
      <c r="N202" s="198">
        <f t="shared" si="159"/>
        <v>1758.5</v>
      </c>
    </row>
    <row r="203" spans="1:14">
      <c r="A203" s="84" t="s">
        <v>250</v>
      </c>
      <c r="B203" s="85" t="s">
        <v>151</v>
      </c>
      <c r="C203" s="86">
        <v>1468</v>
      </c>
      <c r="D203" s="92">
        <v>1468</v>
      </c>
      <c r="E203" s="92">
        <v>221.4</v>
      </c>
      <c r="F203" s="92">
        <v>0</v>
      </c>
      <c r="G203" s="92">
        <v>889.2</v>
      </c>
      <c r="H203" s="92">
        <v>0</v>
      </c>
      <c r="I203" s="150">
        <f t="shared" si="155"/>
        <v>0</v>
      </c>
      <c r="J203" s="189">
        <f t="shared" si="156"/>
        <v>0</v>
      </c>
      <c r="K203" s="199">
        <v>0</v>
      </c>
      <c r="L203" s="188">
        <f t="shared" si="157"/>
        <v>-1468</v>
      </c>
      <c r="M203" s="189">
        <f t="shared" si="158"/>
        <v>0</v>
      </c>
      <c r="N203" s="198">
        <f t="shared" si="159"/>
        <v>-889.2</v>
      </c>
    </row>
    <row r="204" spans="1:14">
      <c r="A204" s="84"/>
      <c r="B204" s="85" t="s">
        <v>263</v>
      </c>
      <c r="C204" s="86">
        <v>3689.6</v>
      </c>
      <c r="D204" s="92">
        <v>15261</v>
      </c>
      <c r="E204" s="92">
        <f>1151.6+0.1</f>
        <v>1151.7</v>
      </c>
      <c r="F204" s="92">
        <v>9068.7999999999993</v>
      </c>
      <c r="G204" s="92">
        <f>3073.3+0.1</f>
        <v>3073.4</v>
      </c>
      <c r="H204" s="92">
        <v>9068.7999999999993</v>
      </c>
      <c r="I204" s="150">
        <f t="shared" si="155"/>
        <v>0.01</v>
      </c>
      <c r="J204" s="189">
        <f t="shared" si="156"/>
        <v>7.8739999999999997</v>
      </c>
      <c r="K204" s="199">
        <f t="shared" si="139"/>
        <v>1</v>
      </c>
      <c r="L204" s="188">
        <f t="shared" si="157"/>
        <v>-6192.2</v>
      </c>
      <c r="M204" s="189">
        <f t="shared" si="158"/>
        <v>0.59399999999999997</v>
      </c>
      <c r="N204" s="198">
        <f t="shared" si="159"/>
        <v>5995.4</v>
      </c>
    </row>
    <row r="205" spans="1:14" ht="13.5" hidden="1" customHeight="1">
      <c r="A205" s="15">
        <v>612</v>
      </c>
      <c r="B205" s="7" t="s">
        <v>94</v>
      </c>
      <c r="C205" s="5"/>
      <c r="D205" s="100"/>
      <c r="E205" s="100"/>
      <c r="F205" s="100"/>
      <c r="G205" s="100">
        <f t="shared" ref="G205:H207" si="160">E205</f>
        <v>0</v>
      </c>
      <c r="H205" s="100">
        <f t="shared" si="160"/>
        <v>0</v>
      </c>
      <c r="I205" s="149">
        <f t="shared" si="155"/>
        <v>0</v>
      </c>
      <c r="J205" s="158" t="e">
        <f t="shared" si="156"/>
        <v>#DIV/0!</v>
      </c>
      <c r="K205" s="199" t="e">
        <f t="shared" si="139"/>
        <v>#DIV/0!</v>
      </c>
      <c r="L205" s="188">
        <f t="shared" si="157"/>
        <v>0</v>
      </c>
      <c r="M205" s="189" t="e">
        <f t="shared" si="158"/>
        <v>#DIV/0!</v>
      </c>
      <c r="N205" s="198" t="e">
        <f>H205-#REF!</f>
        <v>#REF!</v>
      </c>
    </row>
    <row r="206" spans="1:14" ht="13.5" hidden="1" customHeight="1">
      <c r="A206" s="124"/>
      <c r="B206" s="123" t="s">
        <v>27</v>
      </c>
      <c r="C206" s="86"/>
      <c r="D206" s="100"/>
      <c r="E206" s="100"/>
      <c r="F206" s="100"/>
      <c r="G206" s="100">
        <f t="shared" si="160"/>
        <v>0</v>
      </c>
      <c r="H206" s="100">
        <f t="shared" si="160"/>
        <v>0</v>
      </c>
      <c r="I206" s="149"/>
      <c r="J206" s="158" t="e">
        <f t="shared" si="156"/>
        <v>#DIV/0!</v>
      </c>
      <c r="K206" s="199" t="e">
        <f t="shared" si="139"/>
        <v>#DIV/0!</v>
      </c>
      <c r="L206" s="188"/>
      <c r="M206" s="189"/>
      <c r="N206" s="198"/>
    </row>
    <row r="207" spans="1:14" ht="40.5" hidden="1" customHeight="1">
      <c r="A207" s="124"/>
      <c r="B207" s="123" t="s">
        <v>156</v>
      </c>
      <c r="C207" s="86"/>
      <c r="D207" s="100"/>
      <c r="E207" s="100"/>
      <c r="F207" s="100"/>
      <c r="G207" s="100">
        <f t="shared" si="160"/>
        <v>0</v>
      </c>
      <c r="H207" s="100">
        <f t="shared" si="160"/>
        <v>0</v>
      </c>
      <c r="I207" s="149">
        <f>H207/$H$239</f>
        <v>0</v>
      </c>
      <c r="J207" s="158" t="e">
        <f t="shared" si="156"/>
        <v>#DIV/0!</v>
      </c>
      <c r="K207" s="199" t="e">
        <f t="shared" si="139"/>
        <v>#DIV/0!</v>
      </c>
      <c r="L207" s="188">
        <f t="shared" ref="L207:L219" si="161">H207-D207</f>
        <v>0</v>
      </c>
      <c r="M207" s="189" t="e">
        <f t="shared" ref="M207:M218" si="162">H207/D207</f>
        <v>#DIV/0!</v>
      </c>
      <c r="N207" s="198" t="e">
        <f>H207-#REF!</f>
        <v>#REF!</v>
      </c>
    </row>
    <row r="208" spans="1:14" ht="40.5">
      <c r="A208" s="14"/>
      <c r="B208" s="226" t="s">
        <v>271</v>
      </c>
      <c r="C208" s="138">
        <v>484</v>
      </c>
      <c r="D208" s="146">
        <v>741.5</v>
      </c>
      <c r="E208" s="146"/>
      <c r="F208" s="100">
        <v>725.2</v>
      </c>
      <c r="G208" s="100">
        <v>0</v>
      </c>
      <c r="H208" s="100">
        <v>725.2</v>
      </c>
      <c r="I208" s="149">
        <f>H208/$H$239</f>
        <v>1E-3</v>
      </c>
      <c r="J208" s="189" t="e">
        <f t="shared" si="156"/>
        <v>#DIV/0!</v>
      </c>
      <c r="K208" s="199">
        <f t="shared" si="139"/>
        <v>1</v>
      </c>
      <c r="L208" s="188">
        <f>H208-D208</f>
        <v>-16.3</v>
      </c>
      <c r="M208" s="189">
        <f t="shared" si="162"/>
        <v>0.97799999999999998</v>
      </c>
      <c r="N208" s="198">
        <f>H208-G208</f>
        <v>725.2</v>
      </c>
    </row>
    <row r="209" spans="1:15" ht="27">
      <c r="A209" s="124"/>
      <c r="B209" s="226" t="s">
        <v>272</v>
      </c>
      <c r="C209" s="146">
        <v>0</v>
      </c>
      <c r="D209" s="146">
        <v>4784</v>
      </c>
      <c r="E209" s="146"/>
      <c r="F209" s="100">
        <v>1666.3</v>
      </c>
      <c r="G209" s="100">
        <v>1853.6</v>
      </c>
      <c r="H209" s="100">
        <v>1666.3</v>
      </c>
      <c r="I209" s="149">
        <f>H209/$H$239</f>
        <v>2E-3</v>
      </c>
      <c r="J209" s="158" t="e">
        <f t="shared" ref="J209:J218" si="163">H209/E209</f>
        <v>#DIV/0!</v>
      </c>
      <c r="K209" s="199">
        <f t="shared" si="139"/>
        <v>1</v>
      </c>
      <c r="L209" s="188">
        <f t="shared" ref="L209:L212" si="164">H209-D209</f>
        <v>-3117.7</v>
      </c>
      <c r="M209" s="189">
        <f t="shared" si="162"/>
        <v>0.34799999999999998</v>
      </c>
      <c r="N209" s="198">
        <f t="shared" ref="N209:N212" si="165">H209-G209</f>
        <v>-187.3</v>
      </c>
    </row>
    <row r="210" spans="1:15" ht="40.5">
      <c r="A210" s="124"/>
      <c r="B210" s="226" t="s">
        <v>290</v>
      </c>
      <c r="C210" s="146">
        <v>0</v>
      </c>
      <c r="D210" s="146">
        <v>2500</v>
      </c>
      <c r="E210" s="146"/>
      <c r="F210" s="100">
        <v>2500</v>
      </c>
      <c r="G210" s="100">
        <v>0</v>
      </c>
      <c r="H210" s="100">
        <v>2500</v>
      </c>
      <c r="I210" s="149">
        <f t="shared" ref="I210:I211" si="166">H210/$H$239</f>
        <v>3.0000000000000001E-3</v>
      </c>
      <c r="J210" s="158"/>
      <c r="K210" s="199">
        <f t="shared" si="139"/>
        <v>1</v>
      </c>
      <c r="L210" s="188">
        <f t="shared" si="164"/>
        <v>0</v>
      </c>
      <c r="M210" s="189">
        <f t="shared" si="162"/>
        <v>1</v>
      </c>
      <c r="N210" s="198">
        <f t="shared" si="165"/>
        <v>2500</v>
      </c>
    </row>
    <row r="211" spans="1:15" ht="30" customHeight="1">
      <c r="A211" s="124"/>
      <c r="B211" s="226" t="s">
        <v>291</v>
      </c>
      <c r="C211" s="146">
        <v>0</v>
      </c>
      <c r="D211" s="146">
        <v>3815</v>
      </c>
      <c r="E211" s="146"/>
      <c r="F211" s="100">
        <v>2523.8000000000002</v>
      </c>
      <c r="G211" s="100">
        <v>0</v>
      </c>
      <c r="H211" s="100">
        <v>2523.8000000000002</v>
      </c>
      <c r="I211" s="149">
        <f t="shared" si="166"/>
        <v>3.0000000000000001E-3</v>
      </c>
      <c r="J211" s="158"/>
      <c r="K211" s="199">
        <f t="shared" si="139"/>
        <v>1</v>
      </c>
      <c r="L211" s="188">
        <f t="shared" si="164"/>
        <v>-1291.2</v>
      </c>
      <c r="M211" s="189">
        <f t="shared" si="162"/>
        <v>0.66200000000000003</v>
      </c>
      <c r="N211" s="198">
        <f t="shared" si="165"/>
        <v>2523.8000000000002</v>
      </c>
    </row>
    <row r="212" spans="1:15" ht="15.75" customHeight="1">
      <c r="A212" s="14"/>
      <c r="B212" s="226" t="s">
        <v>270</v>
      </c>
      <c r="C212" s="138">
        <v>974</v>
      </c>
      <c r="D212" s="146">
        <v>974</v>
      </c>
      <c r="E212" s="146"/>
      <c r="F212" s="100">
        <v>111</v>
      </c>
      <c r="G212" s="100">
        <v>14.8</v>
      </c>
      <c r="H212" s="100">
        <v>111</v>
      </c>
      <c r="I212" s="149">
        <f t="shared" ref="I212:I219" si="167">H212/$H$239</f>
        <v>0</v>
      </c>
      <c r="J212" s="158"/>
      <c r="K212" s="199">
        <f>H212/F212</f>
        <v>1</v>
      </c>
      <c r="L212" s="188">
        <f t="shared" si="164"/>
        <v>-863</v>
      </c>
      <c r="M212" s="189">
        <f t="shared" si="162"/>
        <v>0.114</v>
      </c>
      <c r="N212" s="198">
        <f t="shared" si="165"/>
        <v>96.2</v>
      </c>
    </row>
    <row r="213" spans="1:15" s="22" customFormat="1">
      <c r="A213" s="65" t="s">
        <v>99</v>
      </c>
      <c r="B213" s="69" t="s">
        <v>100</v>
      </c>
      <c r="C213" s="157">
        <f>C214</f>
        <v>561.29999999999995</v>
      </c>
      <c r="D213" s="157">
        <f t="shared" ref="D213:H213" si="168">D214</f>
        <v>561.29999999999995</v>
      </c>
      <c r="E213" s="157">
        <f t="shared" si="168"/>
        <v>398.1</v>
      </c>
      <c r="F213" s="157">
        <f t="shared" si="168"/>
        <v>420.5</v>
      </c>
      <c r="G213" s="157">
        <f t="shared" si="168"/>
        <v>399.3</v>
      </c>
      <c r="H213" s="157">
        <f t="shared" si="168"/>
        <v>420.5</v>
      </c>
      <c r="I213" s="158">
        <f t="shared" si="167"/>
        <v>0</v>
      </c>
      <c r="J213" s="158">
        <f t="shared" si="163"/>
        <v>1.056</v>
      </c>
      <c r="K213" s="158">
        <f t="shared" si="139"/>
        <v>1</v>
      </c>
      <c r="L213" s="159">
        <f t="shared" si="161"/>
        <v>-140.80000000000001</v>
      </c>
      <c r="M213" s="158">
        <f t="shared" si="162"/>
        <v>0.749</v>
      </c>
      <c r="N213" s="160">
        <f t="shared" ref="N213:N219" si="169">H213-G213</f>
        <v>21.2</v>
      </c>
    </row>
    <row r="214" spans="1:15" s="33" customFormat="1">
      <c r="A214" s="14" t="s">
        <v>61</v>
      </c>
      <c r="B214" s="16" t="s">
        <v>62</v>
      </c>
      <c r="C214" s="139">
        <v>561.29999999999995</v>
      </c>
      <c r="D214" s="145">
        <v>561.29999999999995</v>
      </c>
      <c r="E214" s="145">
        <v>398.1</v>
      </c>
      <c r="F214" s="145">
        <v>420.5</v>
      </c>
      <c r="G214" s="145">
        <v>399.3</v>
      </c>
      <c r="H214" s="145">
        <v>420.5</v>
      </c>
      <c r="I214" s="156">
        <f t="shared" si="167"/>
        <v>0</v>
      </c>
      <c r="J214" s="158">
        <f t="shared" si="163"/>
        <v>1.056</v>
      </c>
      <c r="K214" s="199">
        <f t="shared" si="139"/>
        <v>1</v>
      </c>
      <c r="L214" s="188">
        <f t="shared" si="161"/>
        <v>-140.80000000000001</v>
      </c>
      <c r="M214" s="189">
        <f t="shared" si="162"/>
        <v>0.749</v>
      </c>
      <c r="N214" s="198">
        <f t="shared" si="169"/>
        <v>21.2</v>
      </c>
    </row>
    <row r="215" spans="1:15" s="22" customFormat="1">
      <c r="A215" s="65" t="s">
        <v>101</v>
      </c>
      <c r="B215" s="69" t="s">
        <v>49</v>
      </c>
      <c r="C215" s="68">
        <f t="shared" ref="C215:E215" si="170">C216+C233</f>
        <v>16811.099999999999</v>
      </c>
      <c r="D215" s="68">
        <f t="shared" si="170"/>
        <v>21371.4</v>
      </c>
      <c r="E215" s="68">
        <f t="shared" si="170"/>
        <v>9657</v>
      </c>
      <c r="F215" s="68">
        <f>F216+F233</f>
        <v>11612.1</v>
      </c>
      <c r="G215" s="68">
        <f>G216+G233</f>
        <v>10401.299999999999</v>
      </c>
      <c r="H215" s="68">
        <f>H216+H233</f>
        <v>11612.1</v>
      </c>
      <c r="I215" s="67">
        <f t="shared" si="167"/>
        <v>1.2999999999999999E-2</v>
      </c>
      <c r="J215" s="158">
        <f t="shared" si="163"/>
        <v>1.202</v>
      </c>
      <c r="K215" s="158">
        <f t="shared" si="139"/>
        <v>1</v>
      </c>
      <c r="L215" s="159">
        <f t="shared" si="161"/>
        <v>-9759.2999999999993</v>
      </c>
      <c r="M215" s="158">
        <f t="shared" si="162"/>
        <v>0.54300000000000004</v>
      </c>
      <c r="N215" s="160">
        <f t="shared" si="169"/>
        <v>1210.8</v>
      </c>
    </row>
    <row r="216" spans="1:15" s="33" customFormat="1">
      <c r="A216" s="88" t="s">
        <v>73</v>
      </c>
      <c r="B216" s="128" t="s">
        <v>171</v>
      </c>
      <c r="C216" s="152">
        <f t="shared" ref="C216:F216" si="171">C217+C218+C232+C219</f>
        <v>16811.099999999999</v>
      </c>
      <c r="D216" s="152">
        <f t="shared" si="171"/>
        <v>21371.4</v>
      </c>
      <c r="E216" s="152">
        <f t="shared" si="171"/>
        <v>9518.2999999999993</v>
      </c>
      <c r="F216" s="152">
        <f t="shared" si="171"/>
        <v>11612.1</v>
      </c>
      <c r="G216" s="152">
        <f>G217+G218+G232+G219</f>
        <v>10401.299999999999</v>
      </c>
      <c r="H216" s="152">
        <f>H217+H218+H232+H219</f>
        <v>11612.1</v>
      </c>
      <c r="I216" s="77">
        <f t="shared" si="167"/>
        <v>1.2999999999999999E-2</v>
      </c>
      <c r="J216" s="158">
        <f t="shared" si="163"/>
        <v>1.22</v>
      </c>
      <c r="K216" s="199">
        <f t="shared" si="139"/>
        <v>1</v>
      </c>
      <c r="L216" s="188">
        <f t="shared" si="161"/>
        <v>-9759.2999999999993</v>
      </c>
      <c r="M216" s="189">
        <f t="shared" si="162"/>
        <v>0.54300000000000004</v>
      </c>
      <c r="N216" s="200">
        <f t="shared" si="169"/>
        <v>1210.8</v>
      </c>
    </row>
    <row r="217" spans="1:15" ht="40.5">
      <c r="A217" s="15">
        <v>611</v>
      </c>
      <c r="B217" s="7" t="s">
        <v>93</v>
      </c>
      <c r="C217" s="5">
        <v>14342.4</v>
      </c>
      <c r="D217" s="100">
        <v>14064.7</v>
      </c>
      <c r="E217" s="100">
        <v>7137.3</v>
      </c>
      <c r="F217" s="100">
        <v>9442.7999999999993</v>
      </c>
      <c r="G217" s="100">
        <v>8513.1</v>
      </c>
      <c r="H217" s="100">
        <v>9442.7999999999993</v>
      </c>
      <c r="I217" s="149">
        <f t="shared" si="167"/>
        <v>1.0999999999999999E-2</v>
      </c>
      <c r="J217" s="189">
        <f t="shared" si="163"/>
        <v>1.323</v>
      </c>
      <c r="K217" s="199">
        <f t="shared" si="139"/>
        <v>1</v>
      </c>
      <c r="L217" s="188">
        <f t="shared" si="161"/>
        <v>-4621.8999999999996</v>
      </c>
      <c r="M217" s="189">
        <f t="shared" si="162"/>
        <v>0.67100000000000004</v>
      </c>
      <c r="N217" s="198">
        <f t="shared" si="169"/>
        <v>929.7</v>
      </c>
    </row>
    <row r="218" spans="1:15">
      <c r="A218" s="15">
        <v>612</v>
      </c>
      <c r="B218" s="7" t="s">
        <v>94</v>
      </c>
      <c r="C218" s="5">
        <v>2468.6999999999998</v>
      </c>
      <c r="D218" s="100">
        <v>7306.7</v>
      </c>
      <c r="E218" s="100">
        <f>1915.2+350</f>
        <v>2265.1999999999998</v>
      </c>
      <c r="F218" s="100">
        <v>2169.3000000000002</v>
      </c>
      <c r="G218" s="100">
        <v>1888.2</v>
      </c>
      <c r="H218" s="100">
        <v>2169.3000000000002</v>
      </c>
      <c r="I218" s="149">
        <f t="shared" si="167"/>
        <v>2E-3</v>
      </c>
      <c r="J218" s="189">
        <f t="shared" si="163"/>
        <v>0.95799999999999996</v>
      </c>
      <c r="K218" s="199">
        <f t="shared" si="139"/>
        <v>1</v>
      </c>
      <c r="L218" s="188">
        <f t="shared" si="161"/>
        <v>-5137.3999999999996</v>
      </c>
      <c r="M218" s="189">
        <f t="shared" si="162"/>
        <v>0.29699999999999999</v>
      </c>
      <c r="N218" s="198">
        <f t="shared" si="169"/>
        <v>281.10000000000002</v>
      </c>
    </row>
    <row r="219" spans="1:15" hidden="1">
      <c r="A219" s="15">
        <v>244</v>
      </c>
      <c r="B219" s="7" t="s">
        <v>266</v>
      </c>
      <c r="C219" s="5">
        <v>0</v>
      </c>
      <c r="D219" s="100">
        <v>0</v>
      </c>
      <c r="E219" s="100"/>
      <c r="F219" s="100">
        <v>0</v>
      </c>
      <c r="G219" s="100">
        <f t="shared" ref="F219:H232" si="172">E219</f>
        <v>0</v>
      </c>
      <c r="H219" s="100">
        <f t="shared" si="172"/>
        <v>0</v>
      </c>
      <c r="I219" s="149">
        <f t="shared" si="167"/>
        <v>0</v>
      </c>
      <c r="J219" s="189"/>
      <c r="K219" s="199">
        <v>0</v>
      </c>
      <c r="L219" s="188">
        <f t="shared" si="161"/>
        <v>0</v>
      </c>
      <c r="M219" s="189">
        <v>0</v>
      </c>
      <c r="N219" s="198">
        <f t="shared" si="169"/>
        <v>0</v>
      </c>
    </row>
    <row r="220" spans="1:15">
      <c r="A220" s="90"/>
      <c r="B220" s="91" t="s">
        <v>167</v>
      </c>
      <c r="C220" s="91"/>
      <c r="D220" s="92"/>
      <c r="E220" s="92"/>
      <c r="F220" s="92"/>
      <c r="G220" s="92"/>
      <c r="H220" s="92"/>
      <c r="I220" s="150"/>
      <c r="J220" s="189"/>
      <c r="K220" s="199"/>
      <c r="L220" s="188"/>
      <c r="M220" s="189"/>
      <c r="N220" s="198"/>
      <c r="O220" s="231"/>
    </row>
    <row r="221" spans="1:15">
      <c r="A221" s="90" t="s">
        <v>247</v>
      </c>
      <c r="B221" s="85" t="s">
        <v>95</v>
      </c>
      <c r="C221" s="86">
        <v>11171.9</v>
      </c>
      <c r="D221" s="92">
        <v>11171.9</v>
      </c>
      <c r="E221" s="92">
        <v>6750</v>
      </c>
      <c r="F221" s="92">
        <v>8196.1</v>
      </c>
      <c r="G221" s="92">
        <v>8366.9</v>
      </c>
      <c r="H221" s="92">
        <v>8196.1</v>
      </c>
      <c r="I221" s="150">
        <f t="shared" ref="I221:I226" si="173">H221/$H$239</f>
        <v>8.9999999999999993E-3</v>
      </c>
      <c r="J221" s="189">
        <f>H221/E221</f>
        <v>1.214</v>
      </c>
      <c r="K221" s="199">
        <f t="shared" si="139"/>
        <v>1</v>
      </c>
      <c r="L221" s="188">
        <f t="shared" ref="L221:L226" si="174">H221-D221</f>
        <v>-2975.8</v>
      </c>
      <c r="M221" s="189">
        <f t="shared" ref="M221:M226" si="175">H221/D221</f>
        <v>0.73399999999999999</v>
      </c>
      <c r="N221" s="198">
        <f>H221-G221</f>
        <v>-170.8</v>
      </c>
    </row>
    <row r="222" spans="1:15">
      <c r="A222" s="90" t="s">
        <v>248</v>
      </c>
      <c r="B222" s="85" t="s">
        <v>154</v>
      </c>
      <c r="C222" s="86">
        <v>30</v>
      </c>
      <c r="D222" s="92">
        <v>30</v>
      </c>
      <c r="E222" s="92">
        <v>18.2</v>
      </c>
      <c r="F222" s="92">
        <v>14.9</v>
      </c>
      <c r="G222" s="92">
        <v>8.3000000000000007</v>
      </c>
      <c r="H222" s="92">
        <v>14.9</v>
      </c>
      <c r="I222" s="150">
        <f t="shared" si="173"/>
        <v>0</v>
      </c>
      <c r="J222" s="189">
        <f>H222/E222</f>
        <v>0.81899999999999995</v>
      </c>
      <c r="K222" s="199">
        <f t="shared" si="139"/>
        <v>1</v>
      </c>
      <c r="L222" s="188">
        <f t="shared" si="174"/>
        <v>-15.1</v>
      </c>
      <c r="M222" s="189">
        <f t="shared" si="175"/>
        <v>0.497</v>
      </c>
      <c r="N222" s="198">
        <f t="shared" ref="N222:N225" si="176">H222-G222</f>
        <v>6.6</v>
      </c>
    </row>
    <row r="223" spans="1:15">
      <c r="A223" s="84" t="s">
        <v>249</v>
      </c>
      <c r="B223" s="85" t="s">
        <v>98</v>
      </c>
      <c r="C223" s="86">
        <v>2833</v>
      </c>
      <c r="D223" s="92">
        <v>3268.2</v>
      </c>
      <c r="E223" s="92">
        <v>2169.6999999999998</v>
      </c>
      <c r="F223" s="92">
        <v>2076.1999999999998</v>
      </c>
      <c r="G223" s="92">
        <v>1184.5</v>
      </c>
      <c r="H223" s="92">
        <v>2076.1999999999998</v>
      </c>
      <c r="I223" s="150">
        <f t="shared" si="173"/>
        <v>2E-3</v>
      </c>
      <c r="J223" s="189">
        <f>H223/E223</f>
        <v>0.95699999999999996</v>
      </c>
      <c r="K223" s="199">
        <f t="shared" si="139"/>
        <v>1</v>
      </c>
      <c r="L223" s="188">
        <f t="shared" si="174"/>
        <v>-1192</v>
      </c>
      <c r="M223" s="189">
        <f t="shared" si="175"/>
        <v>0.63500000000000001</v>
      </c>
      <c r="N223" s="198">
        <f t="shared" si="176"/>
        <v>891.7</v>
      </c>
    </row>
    <row r="224" spans="1:15">
      <c r="A224" s="84" t="s">
        <v>250</v>
      </c>
      <c r="B224" s="85" t="s">
        <v>151</v>
      </c>
      <c r="C224" s="86">
        <v>265.8</v>
      </c>
      <c r="D224" s="92">
        <v>265.8</v>
      </c>
      <c r="E224" s="92">
        <v>42.3</v>
      </c>
      <c r="F224" s="92">
        <v>11.9</v>
      </c>
      <c r="G224" s="92">
        <v>60.8</v>
      </c>
      <c r="H224" s="92">
        <v>11.9</v>
      </c>
      <c r="I224" s="150">
        <f t="shared" si="173"/>
        <v>0</v>
      </c>
      <c r="J224" s="189">
        <v>0</v>
      </c>
      <c r="K224" s="199">
        <f>H224/F224</f>
        <v>1</v>
      </c>
      <c r="L224" s="188">
        <f t="shared" si="174"/>
        <v>-253.9</v>
      </c>
      <c r="M224" s="189">
        <f t="shared" si="175"/>
        <v>4.4999999999999998E-2</v>
      </c>
      <c r="N224" s="198">
        <f t="shared" si="176"/>
        <v>-48.9</v>
      </c>
    </row>
    <row r="225" spans="1:14">
      <c r="A225" s="84"/>
      <c r="B225" s="85" t="s">
        <v>263</v>
      </c>
      <c r="C225" s="86">
        <v>2510.4</v>
      </c>
      <c r="D225" s="92">
        <v>6635.5</v>
      </c>
      <c r="E225" s="92">
        <v>422.3</v>
      </c>
      <c r="F225" s="92">
        <v>1313</v>
      </c>
      <c r="G225" s="92">
        <v>780.8</v>
      </c>
      <c r="H225" s="92">
        <v>1313</v>
      </c>
      <c r="I225" s="150">
        <f t="shared" si="173"/>
        <v>1E-3</v>
      </c>
      <c r="J225" s="189">
        <f t="shared" ref="J225:J238" si="177">H225/E225</f>
        <v>3.109</v>
      </c>
      <c r="K225" s="199">
        <f t="shared" si="139"/>
        <v>1</v>
      </c>
      <c r="L225" s="188">
        <f t="shared" si="174"/>
        <v>-5322.5</v>
      </c>
      <c r="M225" s="189">
        <f t="shared" si="175"/>
        <v>0.19800000000000001</v>
      </c>
      <c r="N225" s="198">
        <f t="shared" si="176"/>
        <v>532.20000000000005</v>
      </c>
    </row>
    <row r="226" spans="1:14" ht="13.5" hidden="1" customHeight="1">
      <c r="A226" s="15"/>
      <c r="B226" s="7" t="s">
        <v>94</v>
      </c>
      <c r="C226" s="86"/>
      <c r="D226" s="132"/>
      <c r="E226" s="132"/>
      <c r="F226" s="100">
        <f t="shared" si="172"/>
        <v>0</v>
      </c>
      <c r="G226" s="100">
        <f t="shared" si="172"/>
        <v>0</v>
      </c>
      <c r="H226" s="100">
        <f t="shared" si="172"/>
        <v>0</v>
      </c>
      <c r="I226" s="136">
        <f t="shared" si="173"/>
        <v>0</v>
      </c>
      <c r="J226" s="158" t="e">
        <f t="shared" si="177"/>
        <v>#DIV/0!</v>
      </c>
      <c r="K226" s="199" t="e">
        <f t="shared" si="139"/>
        <v>#DIV/0!</v>
      </c>
      <c r="L226" s="188">
        <f t="shared" si="174"/>
        <v>0</v>
      </c>
      <c r="M226" s="189" t="e">
        <f t="shared" si="175"/>
        <v>#DIV/0!</v>
      </c>
      <c r="N226" s="198" t="e">
        <f>H226-#REF!</f>
        <v>#REF!</v>
      </c>
    </row>
    <row r="227" spans="1:14" ht="13.5" hidden="1" customHeight="1">
      <c r="A227" s="124"/>
      <c r="B227" s="123" t="s">
        <v>27</v>
      </c>
      <c r="C227" s="86"/>
      <c r="D227" s="132"/>
      <c r="E227" s="132"/>
      <c r="F227" s="100">
        <f t="shared" si="172"/>
        <v>0</v>
      </c>
      <c r="G227" s="100">
        <f t="shared" si="172"/>
        <v>0</v>
      </c>
      <c r="H227" s="100">
        <f t="shared" si="172"/>
        <v>0</v>
      </c>
      <c r="I227" s="136"/>
      <c r="J227" s="158" t="e">
        <f t="shared" si="177"/>
        <v>#DIV/0!</v>
      </c>
      <c r="K227" s="199" t="e">
        <f t="shared" si="139"/>
        <v>#DIV/0!</v>
      </c>
      <c r="L227" s="188"/>
      <c r="M227" s="189"/>
      <c r="N227" s="198"/>
    </row>
    <row r="228" spans="1:14" ht="27" hidden="1" customHeight="1">
      <c r="A228" s="124"/>
      <c r="B228" s="123" t="s">
        <v>155</v>
      </c>
      <c r="C228" s="86"/>
      <c r="D228" s="132"/>
      <c r="E228" s="132"/>
      <c r="F228" s="100">
        <f t="shared" si="172"/>
        <v>0</v>
      </c>
      <c r="G228" s="100">
        <f t="shared" si="172"/>
        <v>0</v>
      </c>
      <c r="H228" s="100">
        <f t="shared" si="172"/>
        <v>0</v>
      </c>
      <c r="I228" s="136">
        <f t="shared" ref="I228:I239" si="178">H228/$H$239</f>
        <v>0</v>
      </c>
      <c r="J228" s="158" t="e">
        <f t="shared" si="177"/>
        <v>#DIV/0!</v>
      </c>
      <c r="K228" s="199" t="e">
        <f t="shared" si="139"/>
        <v>#DIV/0!</v>
      </c>
      <c r="L228" s="188">
        <f t="shared" ref="L228:L239" si="179">H228-D228</f>
        <v>0</v>
      </c>
      <c r="M228" s="189" t="e">
        <f t="shared" ref="M228:M239" si="180">H228/D228</f>
        <v>#DIV/0!</v>
      </c>
      <c r="N228" s="198" t="e">
        <f>H228-#REF!</f>
        <v>#REF!</v>
      </c>
    </row>
    <row r="229" spans="1:14" ht="26.25" customHeight="1">
      <c r="A229" s="171"/>
      <c r="B229" s="225" t="s">
        <v>268</v>
      </c>
      <c r="C229" s="138">
        <v>2100</v>
      </c>
      <c r="D229" s="146">
        <v>2100</v>
      </c>
      <c r="E229" s="146">
        <v>891.6</v>
      </c>
      <c r="F229" s="100">
        <v>701.9</v>
      </c>
      <c r="G229" s="100">
        <v>625.79999999999995</v>
      </c>
      <c r="H229" s="100">
        <v>701.9</v>
      </c>
      <c r="I229" s="149">
        <f t="shared" si="178"/>
        <v>1E-3</v>
      </c>
      <c r="J229" s="158">
        <f t="shared" si="177"/>
        <v>0.78700000000000003</v>
      </c>
      <c r="K229" s="199">
        <f t="shared" si="139"/>
        <v>1</v>
      </c>
      <c r="L229" s="188">
        <f t="shared" si="179"/>
        <v>-1398.1</v>
      </c>
      <c r="M229" s="189">
        <f t="shared" si="180"/>
        <v>0.33400000000000002</v>
      </c>
      <c r="N229" s="198">
        <f t="shared" ref="N229:N239" si="181">H229-G229</f>
        <v>76.099999999999994</v>
      </c>
    </row>
    <row r="230" spans="1:14">
      <c r="A230" s="171"/>
      <c r="B230" s="225" t="s">
        <v>269</v>
      </c>
      <c r="C230" s="138">
        <v>0</v>
      </c>
      <c r="D230" s="146">
        <v>4125.1000000000004</v>
      </c>
      <c r="E230" s="146"/>
      <c r="F230" s="100">
        <v>582.79999999999995</v>
      </c>
      <c r="G230" s="100">
        <v>135</v>
      </c>
      <c r="H230" s="100">
        <v>582.79999999999995</v>
      </c>
      <c r="I230" s="149">
        <f t="shared" si="178"/>
        <v>1E-3</v>
      </c>
      <c r="J230" s="158"/>
      <c r="K230" s="199">
        <v>0</v>
      </c>
      <c r="L230" s="188">
        <f t="shared" si="179"/>
        <v>-3542.3</v>
      </c>
      <c r="M230" s="189">
        <f>H230/D230</f>
        <v>0.14099999999999999</v>
      </c>
      <c r="N230" s="198">
        <f t="shared" si="181"/>
        <v>447.8</v>
      </c>
    </row>
    <row r="231" spans="1:14">
      <c r="A231" s="171"/>
      <c r="B231" s="226" t="s">
        <v>270</v>
      </c>
      <c r="C231" s="138">
        <v>184.1</v>
      </c>
      <c r="D231" s="146">
        <v>184.1</v>
      </c>
      <c r="E231" s="146"/>
      <c r="F231" s="146">
        <v>0</v>
      </c>
      <c r="G231" s="100">
        <f t="shared" si="172"/>
        <v>0</v>
      </c>
      <c r="H231" s="100">
        <f t="shared" si="172"/>
        <v>0</v>
      </c>
      <c r="I231" s="149">
        <f t="shared" si="178"/>
        <v>0</v>
      </c>
      <c r="J231" s="158"/>
      <c r="K231" s="199">
        <v>0</v>
      </c>
      <c r="L231" s="188">
        <f t="shared" si="179"/>
        <v>-184.1</v>
      </c>
      <c r="M231" s="189">
        <f>H231/D231</f>
        <v>0</v>
      </c>
      <c r="N231" s="198">
        <f t="shared" si="181"/>
        <v>0</v>
      </c>
    </row>
    <row r="232" spans="1:14" ht="67.5" hidden="1">
      <c r="A232" s="14" t="s">
        <v>267</v>
      </c>
      <c r="B232" s="7" t="s">
        <v>264</v>
      </c>
      <c r="C232" s="138">
        <v>0</v>
      </c>
      <c r="D232" s="146">
        <v>0</v>
      </c>
      <c r="E232" s="146">
        <v>115.8</v>
      </c>
      <c r="F232" s="146">
        <v>0</v>
      </c>
      <c r="G232" s="100">
        <v>0</v>
      </c>
      <c r="H232" s="100">
        <f t="shared" si="172"/>
        <v>0</v>
      </c>
      <c r="I232" s="149">
        <f t="shared" si="178"/>
        <v>0</v>
      </c>
      <c r="J232" s="158">
        <v>0</v>
      </c>
      <c r="K232" s="199">
        <v>0</v>
      </c>
      <c r="L232" s="188">
        <f t="shared" si="179"/>
        <v>0</v>
      </c>
      <c r="M232" s="189" t="e">
        <f t="shared" si="180"/>
        <v>#DIV/0!</v>
      </c>
      <c r="N232" s="198">
        <f t="shared" si="181"/>
        <v>0</v>
      </c>
    </row>
    <row r="233" spans="1:14" ht="27" hidden="1">
      <c r="A233" s="65" t="s">
        <v>214</v>
      </c>
      <c r="B233" s="69" t="s">
        <v>215</v>
      </c>
      <c r="C233" s="68">
        <f>C234</f>
        <v>0</v>
      </c>
      <c r="D233" s="68">
        <f>D234</f>
        <v>0</v>
      </c>
      <c r="E233" s="68">
        <f t="shared" ref="E233:F233" si="182">E234</f>
        <v>138.69999999999999</v>
      </c>
      <c r="F233" s="68">
        <f t="shared" si="182"/>
        <v>0</v>
      </c>
      <c r="G233" s="68">
        <f>G234</f>
        <v>0</v>
      </c>
      <c r="H233" s="68">
        <f>H234</f>
        <v>0</v>
      </c>
      <c r="I233" s="67">
        <f t="shared" si="178"/>
        <v>0</v>
      </c>
      <c r="J233" s="158">
        <f t="shared" ref="J233" si="183">H233/E233</f>
        <v>0</v>
      </c>
      <c r="K233" s="158">
        <v>0</v>
      </c>
      <c r="L233" s="159">
        <f t="shared" si="179"/>
        <v>0</v>
      </c>
      <c r="M233" s="158">
        <v>0</v>
      </c>
      <c r="N233" s="160">
        <f>H233-G233</f>
        <v>0</v>
      </c>
    </row>
    <row r="234" spans="1:14" ht="54" hidden="1">
      <c r="A234" s="171"/>
      <c r="B234" s="123" t="s">
        <v>265</v>
      </c>
      <c r="C234" s="138">
        <v>0</v>
      </c>
      <c r="D234" s="146">
        <v>0</v>
      </c>
      <c r="E234" s="146">
        <v>138.69999999999999</v>
      </c>
      <c r="F234" s="146">
        <v>0</v>
      </c>
      <c r="G234" s="146">
        <v>0</v>
      </c>
      <c r="H234" s="146">
        <v>0</v>
      </c>
      <c r="I234" s="149">
        <f t="shared" ref="I234" si="184">H234/$H$239</f>
        <v>0</v>
      </c>
      <c r="J234" s="158">
        <f t="shared" si="177"/>
        <v>0</v>
      </c>
      <c r="K234" s="199">
        <v>0</v>
      </c>
      <c r="L234" s="188">
        <f t="shared" ref="L234" si="185">H234-D234</f>
        <v>0</v>
      </c>
      <c r="M234" s="189">
        <v>0</v>
      </c>
      <c r="N234" s="198">
        <f t="shared" ref="N234" si="186">H234-G234</f>
        <v>0</v>
      </c>
    </row>
    <row r="235" spans="1:14" s="22" customFormat="1" ht="27">
      <c r="A235" s="72">
        <v>1300</v>
      </c>
      <c r="B235" s="69" t="s">
        <v>102</v>
      </c>
      <c r="C235" s="160">
        <f>C236</f>
        <v>10450.799999999999</v>
      </c>
      <c r="D235" s="160">
        <f>D236</f>
        <v>10450.799999999999</v>
      </c>
      <c r="E235" s="160">
        <f t="shared" ref="E235:F235" si="187">E236</f>
        <v>13680.8</v>
      </c>
      <c r="F235" s="160">
        <f t="shared" si="187"/>
        <v>7468.4</v>
      </c>
      <c r="G235" s="160">
        <f>G236</f>
        <v>11972.6</v>
      </c>
      <c r="H235" s="160">
        <f>H236</f>
        <v>7468.4</v>
      </c>
      <c r="I235" s="158">
        <f t="shared" si="178"/>
        <v>8.9999999999999993E-3</v>
      </c>
      <c r="J235" s="158">
        <f t="shared" si="177"/>
        <v>0.54600000000000004</v>
      </c>
      <c r="K235" s="158">
        <f t="shared" si="139"/>
        <v>1</v>
      </c>
      <c r="L235" s="159">
        <f t="shared" si="179"/>
        <v>-2982.4</v>
      </c>
      <c r="M235" s="158">
        <f t="shared" si="180"/>
        <v>0.71499999999999997</v>
      </c>
      <c r="N235" s="160">
        <f t="shared" si="181"/>
        <v>-4504.2</v>
      </c>
    </row>
    <row r="236" spans="1:14" s="33" customFormat="1" ht="27">
      <c r="A236" s="14" t="s">
        <v>71</v>
      </c>
      <c r="B236" s="28" t="s">
        <v>103</v>
      </c>
      <c r="C236" s="139">
        <v>10450.799999999999</v>
      </c>
      <c r="D236" s="139">
        <v>10450.799999999999</v>
      </c>
      <c r="E236" s="139">
        <v>13680.8</v>
      </c>
      <c r="F236" s="145">
        <v>7468.4</v>
      </c>
      <c r="G236" s="145">
        <v>11972.6</v>
      </c>
      <c r="H236" s="145">
        <v>7468.4</v>
      </c>
      <c r="I236" s="149">
        <f t="shared" si="178"/>
        <v>8.9999999999999993E-3</v>
      </c>
      <c r="J236" s="158">
        <f t="shared" si="177"/>
        <v>0.54600000000000004</v>
      </c>
      <c r="K236" s="199">
        <f t="shared" si="139"/>
        <v>1</v>
      </c>
      <c r="L236" s="188">
        <f t="shared" si="179"/>
        <v>-2982.4</v>
      </c>
      <c r="M236" s="189">
        <f t="shared" si="180"/>
        <v>0.71499999999999997</v>
      </c>
      <c r="N236" s="198">
        <f t="shared" si="181"/>
        <v>-4504.2</v>
      </c>
    </row>
    <row r="237" spans="1:14" s="22" customFormat="1" ht="40.5">
      <c r="A237" s="72">
        <v>1400</v>
      </c>
      <c r="B237" s="69" t="s">
        <v>137</v>
      </c>
      <c r="C237" s="160">
        <f>C238</f>
        <v>185000</v>
      </c>
      <c r="D237" s="160">
        <f>D238</f>
        <v>185000</v>
      </c>
      <c r="E237" s="160">
        <f t="shared" ref="E237:F237" si="188">E238</f>
        <v>70400</v>
      </c>
      <c r="F237" s="160">
        <f t="shared" si="188"/>
        <v>83000</v>
      </c>
      <c r="G237" s="68">
        <f>G238</f>
        <v>71000</v>
      </c>
      <c r="H237" s="68">
        <f>H238</f>
        <v>83000</v>
      </c>
      <c r="I237" s="67">
        <f t="shared" si="178"/>
        <v>9.5000000000000001E-2</v>
      </c>
      <c r="J237" s="158">
        <f t="shared" si="177"/>
        <v>1.179</v>
      </c>
      <c r="K237" s="158">
        <f t="shared" si="139"/>
        <v>1</v>
      </c>
      <c r="L237" s="159">
        <f t="shared" si="179"/>
        <v>-102000</v>
      </c>
      <c r="M237" s="158">
        <f t="shared" si="180"/>
        <v>0.44900000000000001</v>
      </c>
      <c r="N237" s="160">
        <f t="shared" si="181"/>
        <v>12000</v>
      </c>
    </row>
    <row r="238" spans="1:14" s="33" customFormat="1">
      <c r="A238" s="14" t="s">
        <v>136</v>
      </c>
      <c r="B238" s="28" t="s">
        <v>138</v>
      </c>
      <c r="C238" s="139">
        <v>185000</v>
      </c>
      <c r="D238" s="139">
        <v>185000</v>
      </c>
      <c r="E238" s="139">
        <v>70400</v>
      </c>
      <c r="F238" s="145">
        <v>83000</v>
      </c>
      <c r="G238" s="145">
        <v>71000</v>
      </c>
      <c r="H238" s="145">
        <v>83000</v>
      </c>
      <c r="I238" s="149">
        <f t="shared" si="178"/>
        <v>9.5000000000000001E-2</v>
      </c>
      <c r="J238" s="158">
        <f t="shared" si="177"/>
        <v>1.179</v>
      </c>
      <c r="K238" s="199">
        <f t="shared" si="139"/>
        <v>1</v>
      </c>
      <c r="L238" s="188">
        <f t="shared" si="179"/>
        <v>-102000</v>
      </c>
      <c r="M238" s="189">
        <f t="shared" si="180"/>
        <v>0.44900000000000001</v>
      </c>
      <c r="N238" s="198">
        <f t="shared" si="181"/>
        <v>12000</v>
      </c>
    </row>
    <row r="239" spans="1:14" s="22" customFormat="1" ht="16.5">
      <c r="A239" s="65"/>
      <c r="B239" s="73" t="s">
        <v>54</v>
      </c>
      <c r="C239" s="160">
        <f t="shared" ref="C239:H239" si="189">C87+C104+C136+C176+C194+C213+C215+C235+C237</f>
        <v>1304577</v>
      </c>
      <c r="D239" s="160">
        <f t="shared" si="189"/>
        <v>1447768.8</v>
      </c>
      <c r="E239" s="160">
        <f t="shared" si="189"/>
        <v>839164.9</v>
      </c>
      <c r="F239" s="160">
        <f t="shared" si="189"/>
        <v>877149.3</v>
      </c>
      <c r="G239" s="160">
        <f t="shared" si="189"/>
        <v>694535.9</v>
      </c>
      <c r="H239" s="160">
        <f t="shared" si="189"/>
        <v>877149</v>
      </c>
      <c r="I239" s="158">
        <f t="shared" si="178"/>
        <v>1</v>
      </c>
      <c r="J239" s="160">
        <f>J87+J104+J136+J176+J194+J213+J215+J235+J237</f>
        <v>8.6999999999999993</v>
      </c>
      <c r="K239" s="158">
        <f t="shared" si="139"/>
        <v>1</v>
      </c>
      <c r="L239" s="159">
        <f t="shared" si="179"/>
        <v>-570619.80000000005</v>
      </c>
      <c r="M239" s="158">
        <f t="shared" si="180"/>
        <v>0.60599999999999998</v>
      </c>
      <c r="N239" s="160">
        <f t="shared" si="181"/>
        <v>182613.1</v>
      </c>
    </row>
    <row r="240" spans="1:14" s="1" customFormat="1" ht="22.5" customHeight="1">
      <c r="A240" s="27"/>
      <c r="B240" s="58"/>
      <c r="C240" s="161"/>
      <c r="D240" s="161"/>
      <c r="E240" s="161"/>
      <c r="F240" s="161"/>
      <c r="G240" s="161"/>
      <c r="H240" s="161"/>
      <c r="I240" s="161"/>
      <c r="J240" s="202"/>
      <c r="K240" s="158"/>
      <c r="L240" s="203"/>
      <c r="M240" s="202"/>
      <c r="N240" s="204"/>
    </row>
    <row r="241" spans="1:14" ht="21.75" customHeight="1">
      <c r="A241" s="210"/>
      <c r="B241" s="211" t="s">
        <v>63</v>
      </c>
      <c r="C241" s="270">
        <f t="shared" ref="C241:H241" si="190">C84-C239</f>
        <v>0</v>
      </c>
      <c r="D241" s="272">
        <f t="shared" si="190"/>
        <v>-27046.6</v>
      </c>
      <c r="E241" s="272">
        <f t="shared" si="190"/>
        <v>-177181.1</v>
      </c>
      <c r="F241" s="272">
        <f t="shared" si="190"/>
        <v>-16632.3</v>
      </c>
      <c r="G241" s="272">
        <f t="shared" si="190"/>
        <v>9732.4</v>
      </c>
      <c r="H241" s="272">
        <f t="shared" si="190"/>
        <v>-19534.3</v>
      </c>
      <c r="I241" s="260"/>
      <c r="J241" s="264">
        <f>H241/E241</f>
        <v>0.11</v>
      </c>
      <c r="K241" s="274"/>
      <c r="L241" s="262"/>
      <c r="M241" s="264"/>
      <c r="N241" s="267"/>
    </row>
    <row r="242" spans="1:14" ht="18.75" customHeight="1">
      <c r="A242" s="210"/>
      <c r="B242" s="211" t="s">
        <v>64</v>
      </c>
      <c r="C242" s="271"/>
      <c r="D242" s="273"/>
      <c r="E242" s="273"/>
      <c r="F242" s="273"/>
      <c r="G242" s="273"/>
      <c r="H242" s="273"/>
      <c r="I242" s="261"/>
      <c r="J242" s="265"/>
      <c r="K242" s="275"/>
      <c r="L242" s="263"/>
      <c r="M242" s="265"/>
      <c r="N242" s="268"/>
    </row>
    <row r="243" spans="1:14" ht="30" customHeight="1">
      <c r="A243" s="210"/>
      <c r="B243" s="211" t="s">
        <v>65</v>
      </c>
      <c r="C243" s="212">
        <f>C244+C247</f>
        <v>0</v>
      </c>
      <c r="D243" s="107">
        <f>D244+D247</f>
        <v>-27046.6</v>
      </c>
      <c r="E243" s="107">
        <f t="shared" ref="E243:F243" si="191">E244+E247</f>
        <v>-177181.1</v>
      </c>
      <c r="F243" s="107">
        <f t="shared" si="191"/>
        <v>-16632.3</v>
      </c>
      <c r="G243" s="107">
        <f>G244+G247</f>
        <v>9732.4</v>
      </c>
      <c r="H243" s="107">
        <f>H244+H247</f>
        <v>-19534.3</v>
      </c>
      <c r="I243" s="169"/>
      <c r="J243" s="205">
        <f>H243/E243</f>
        <v>0.11</v>
      </c>
      <c r="K243" s="158"/>
      <c r="L243" s="159"/>
      <c r="M243" s="158"/>
      <c r="N243" s="160"/>
    </row>
    <row r="244" spans="1:14" ht="27" hidden="1" customHeight="1">
      <c r="A244" s="213" t="s">
        <v>80</v>
      </c>
      <c r="B244" s="214" t="s">
        <v>81</v>
      </c>
      <c r="C244" s="207">
        <f>C245+C246</f>
        <v>0</v>
      </c>
      <c r="D244" s="108">
        <v>0</v>
      </c>
      <c r="E244" s="108">
        <f>E245+E246</f>
        <v>0</v>
      </c>
      <c r="F244" s="108"/>
      <c r="G244" s="108">
        <f>G245+G246</f>
        <v>0</v>
      </c>
      <c r="H244" s="108">
        <f>H245+H246</f>
        <v>0</v>
      </c>
      <c r="I244" s="169">
        <v>0</v>
      </c>
      <c r="J244" s="205">
        <v>0</v>
      </c>
      <c r="K244" s="158"/>
      <c r="L244" s="160">
        <v>0</v>
      </c>
      <c r="M244" s="158">
        <v>0</v>
      </c>
      <c r="N244" s="160">
        <f>H244-G244</f>
        <v>0</v>
      </c>
    </row>
    <row r="245" spans="1:14" s="33" customFormat="1" ht="27" hidden="1" customHeight="1">
      <c r="A245" s="215" t="s">
        <v>76</v>
      </c>
      <c r="B245" s="216" t="s">
        <v>77</v>
      </c>
      <c r="C245" s="98">
        <v>198500</v>
      </c>
      <c r="D245" s="98">
        <v>198500</v>
      </c>
      <c r="E245" s="98">
        <v>-118500</v>
      </c>
      <c r="F245" s="98">
        <v>30000</v>
      </c>
      <c r="G245" s="98">
        <v>30000</v>
      </c>
      <c r="H245" s="98">
        <v>30000</v>
      </c>
      <c r="I245" s="209">
        <v>0</v>
      </c>
      <c r="J245" s="206">
        <f t="shared" ref="J245:J249" si="192">H245/E245</f>
        <v>-0.253</v>
      </c>
      <c r="K245" s="158"/>
      <c r="L245" s="195">
        <f t="shared" ref="L245:L249" si="193">H245-D245</f>
        <v>-168500</v>
      </c>
      <c r="M245" s="199">
        <f>H245/D245</f>
        <v>0.151</v>
      </c>
      <c r="N245" s="200">
        <f>H245-G245</f>
        <v>0</v>
      </c>
    </row>
    <row r="246" spans="1:14" s="33" customFormat="1" ht="40.5" hidden="1" customHeight="1">
      <c r="A246" s="215" t="s">
        <v>78</v>
      </c>
      <c r="B246" s="216" t="s">
        <v>79</v>
      </c>
      <c r="C246" s="98">
        <v>-198500</v>
      </c>
      <c r="D246" s="98">
        <v>-198500</v>
      </c>
      <c r="E246" s="98">
        <v>118500</v>
      </c>
      <c r="F246" s="98">
        <v>-30000</v>
      </c>
      <c r="G246" s="98">
        <v>-30000</v>
      </c>
      <c r="H246" s="98">
        <v>-30000</v>
      </c>
      <c r="I246" s="209">
        <v>0</v>
      </c>
      <c r="J246" s="206">
        <f t="shared" si="192"/>
        <v>-0.253</v>
      </c>
      <c r="K246" s="158"/>
      <c r="L246" s="195">
        <f t="shared" si="193"/>
        <v>168500</v>
      </c>
      <c r="M246" s="199">
        <f>H246/D246</f>
        <v>0.151</v>
      </c>
      <c r="N246" s="200">
        <f>H246-G246</f>
        <v>0</v>
      </c>
    </row>
    <row r="247" spans="1:14" ht="27" hidden="1" customHeight="1">
      <c r="A247" s="213" t="s">
        <v>82</v>
      </c>
      <c r="B247" s="214" t="s">
        <v>83</v>
      </c>
      <c r="C247" s="207">
        <f>C248+C249</f>
        <v>0</v>
      </c>
      <c r="D247" s="207">
        <f>D248+D249</f>
        <v>-27046.6</v>
      </c>
      <c r="E247" s="207">
        <f t="shared" ref="E247:F247" si="194">E248+E249</f>
        <v>-177181.1</v>
      </c>
      <c r="F247" s="207">
        <f t="shared" si="194"/>
        <v>-16632.3</v>
      </c>
      <c r="G247" s="207">
        <f>G248+G249</f>
        <v>9732.4</v>
      </c>
      <c r="H247" s="207">
        <f>H248+H249</f>
        <v>-19534.3</v>
      </c>
      <c r="I247" s="208">
        <f>H247/H243</f>
        <v>1</v>
      </c>
      <c r="J247" s="205">
        <f t="shared" si="192"/>
        <v>0.11</v>
      </c>
      <c r="K247" s="158"/>
      <c r="L247" s="159">
        <f t="shared" si="193"/>
        <v>7512.3</v>
      </c>
      <c r="M247" s="158">
        <f>H247/D247</f>
        <v>0.72199999999999998</v>
      </c>
      <c r="N247" s="197">
        <f>H247-G247</f>
        <v>-29266.7</v>
      </c>
    </row>
    <row r="248" spans="1:14" ht="27" hidden="1" customHeight="1">
      <c r="A248" s="90" t="s">
        <v>84</v>
      </c>
      <c r="B248" s="91" t="s">
        <v>50</v>
      </c>
      <c r="C248" s="98">
        <f t="shared" ref="C248:H248" si="195">C84+C245</f>
        <v>1503077</v>
      </c>
      <c r="D248" s="98">
        <f t="shared" si="195"/>
        <v>1619222.2</v>
      </c>
      <c r="E248" s="98">
        <f t="shared" si="195"/>
        <v>543483.80000000005</v>
      </c>
      <c r="F248" s="98">
        <f t="shared" si="195"/>
        <v>890517</v>
      </c>
      <c r="G248" s="98">
        <f t="shared" si="195"/>
        <v>734268.3</v>
      </c>
      <c r="H248" s="98">
        <f t="shared" si="195"/>
        <v>887614.7</v>
      </c>
      <c r="I248" s="209">
        <v>0</v>
      </c>
      <c r="J248" s="206">
        <v>0</v>
      </c>
      <c r="K248" s="158"/>
      <c r="L248" s="188">
        <f t="shared" si="193"/>
        <v>-731607.5</v>
      </c>
      <c r="M248" s="189">
        <f>H248/D248</f>
        <v>0.54800000000000004</v>
      </c>
      <c r="N248" s="198">
        <f>-(N84)</f>
        <v>-153346.4</v>
      </c>
    </row>
    <row r="249" spans="1:14" ht="27" hidden="1" customHeight="1">
      <c r="A249" s="90" t="s">
        <v>85</v>
      </c>
      <c r="B249" s="91" t="s">
        <v>51</v>
      </c>
      <c r="C249" s="98">
        <f>-(C239+(-C246))</f>
        <v>-1503077</v>
      </c>
      <c r="D249" s="98">
        <f>-(D239+(-D246))</f>
        <v>-1646268.8</v>
      </c>
      <c r="E249" s="98">
        <f t="shared" ref="E249:H249" si="196">-(E239+(-E246))</f>
        <v>-720664.9</v>
      </c>
      <c r="F249" s="98">
        <f>-(F239+(-F246))</f>
        <v>-907149.3</v>
      </c>
      <c r="G249" s="98">
        <f t="shared" ref="G249" si="197">-(G239+(-G246))</f>
        <v>-724535.9</v>
      </c>
      <c r="H249" s="98">
        <f t="shared" si="196"/>
        <v>-907149</v>
      </c>
      <c r="I249" s="209">
        <v>0</v>
      </c>
      <c r="J249" s="206">
        <f t="shared" si="192"/>
        <v>1.2589999999999999</v>
      </c>
      <c r="K249" s="158"/>
      <c r="L249" s="188">
        <f t="shared" si="193"/>
        <v>739119.8</v>
      </c>
      <c r="M249" s="189">
        <f>H249/D249</f>
        <v>0.55100000000000005</v>
      </c>
      <c r="N249" s="198">
        <f>N239</f>
        <v>182613.1</v>
      </c>
    </row>
    <row r="250" spans="1:14" ht="13.5" hidden="1" customHeight="1">
      <c r="A250" s="15" t="s">
        <v>10</v>
      </c>
      <c r="B250" s="9" t="s">
        <v>9</v>
      </c>
      <c r="C250" s="109"/>
      <c r="D250" s="24"/>
      <c r="E250" s="24"/>
      <c r="F250" s="24"/>
      <c r="G250" s="5"/>
      <c r="H250" s="5"/>
      <c r="I250" s="136"/>
      <c r="J250" s="177"/>
      <c r="K250" s="177"/>
      <c r="L250" s="78"/>
      <c r="M250" s="77"/>
      <c r="N250" s="76"/>
    </row>
    <row r="251" spans="1:14" ht="27" hidden="1" customHeight="1">
      <c r="A251" s="74"/>
      <c r="B251" s="75" t="s">
        <v>121</v>
      </c>
      <c r="C251" s="76">
        <f>C99+C173+C181+C200+C221</f>
        <v>107153</v>
      </c>
      <c r="D251" s="76">
        <f>D99+D173+D181+D200+D221</f>
        <v>110956.9</v>
      </c>
      <c r="E251" s="76"/>
      <c r="F251" s="76"/>
      <c r="G251" s="76">
        <f>G99+G173+G181+G200+G221</f>
        <v>72166.399999999994</v>
      </c>
      <c r="H251" s="76">
        <f>H99+H173+H181+H200+H221</f>
        <v>80579</v>
      </c>
      <c r="I251" s="135">
        <f t="shared" ref="I251:I256" si="198">H251/$H$239</f>
        <v>9.1999999999999998E-2</v>
      </c>
      <c r="J251" s="135"/>
      <c r="K251" s="135"/>
      <c r="L251" s="81">
        <f t="shared" ref="L251:L256" si="199">H251-D251</f>
        <v>-30377.9</v>
      </c>
      <c r="M251" s="80">
        <f t="shared" ref="M251:M256" si="200">H251/D251</f>
        <v>0.72599999999999998</v>
      </c>
      <c r="N251" s="82" t="e">
        <f>H251-#REF!</f>
        <v>#REF!</v>
      </c>
    </row>
    <row r="252" spans="1:14" ht="13.5" hidden="1" customHeight="1">
      <c r="A252" s="74" t="s">
        <v>10</v>
      </c>
      <c r="B252" s="75" t="s">
        <v>120</v>
      </c>
      <c r="C252" s="76">
        <f>C99</f>
        <v>4149.3</v>
      </c>
      <c r="D252" s="76">
        <f t="shared" ref="D252:H252" si="201">D99</f>
        <v>4149.3</v>
      </c>
      <c r="E252" s="76"/>
      <c r="F252" s="76"/>
      <c r="G252" s="76">
        <f t="shared" ref="G252" si="202">G99</f>
        <v>3032</v>
      </c>
      <c r="H252" s="76">
        <f t="shared" si="201"/>
        <v>3190.1</v>
      </c>
      <c r="I252" s="135">
        <f t="shared" si="198"/>
        <v>4.0000000000000001E-3</v>
      </c>
      <c r="J252" s="135"/>
      <c r="K252" s="135"/>
      <c r="L252" s="81">
        <f t="shared" si="199"/>
        <v>-959.2</v>
      </c>
      <c r="M252" s="80">
        <f t="shared" si="200"/>
        <v>0.76900000000000002</v>
      </c>
      <c r="N252" s="82" t="e">
        <f>H252-#REF!</f>
        <v>#REF!</v>
      </c>
    </row>
    <row r="253" spans="1:14" ht="13.5" hidden="1" customHeight="1">
      <c r="A253" s="74"/>
      <c r="B253" s="75" t="s">
        <v>143</v>
      </c>
      <c r="C253" s="76">
        <f>C221+C200+C181</f>
        <v>91547.3</v>
      </c>
      <c r="D253" s="76">
        <f>D221+D200+D181</f>
        <v>95351.2</v>
      </c>
      <c r="E253" s="76"/>
      <c r="F253" s="76"/>
      <c r="G253" s="76">
        <f>G221+G200+G181</f>
        <v>63613.599999999999</v>
      </c>
      <c r="H253" s="76">
        <f>H221+H200+H181</f>
        <v>70329</v>
      </c>
      <c r="I253" s="135">
        <f t="shared" si="198"/>
        <v>0.08</v>
      </c>
      <c r="J253" s="135"/>
      <c r="K253" s="135"/>
      <c r="L253" s="81">
        <f t="shared" si="199"/>
        <v>-25022.2</v>
      </c>
      <c r="M253" s="80">
        <f t="shared" si="200"/>
        <v>0.73799999999999999</v>
      </c>
      <c r="N253" s="82" t="e">
        <f>H253-#REF!</f>
        <v>#REF!</v>
      </c>
    </row>
    <row r="254" spans="1:14" ht="13.5" hidden="1" customHeight="1">
      <c r="A254" s="74" t="s">
        <v>10</v>
      </c>
      <c r="B254" s="75" t="s">
        <v>98</v>
      </c>
      <c r="C254" s="76">
        <f>C100+C184+C202+C223</f>
        <v>10015.9</v>
      </c>
      <c r="D254" s="76">
        <f>D100+D184+D202+D223</f>
        <v>12680.7</v>
      </c>
      <c r="E254" s="76"/>
      <c r="F254" s="76"/>
      <c r="G254" s="76">
        <f>G100+G184+G202+G223</f>
        <v>4906.6000000000004</v>
      </c>
      <c r="H254" s="76">
        <f>H100+H184+H202+H223</f>
        <v>7473.9</v>
      </c>
      <c r="I254" s="135">
        <f t="shared" si="198"/>
        <v>8.9999999999999993E-3</v>
      </c>
      <c r="J254" s="135"/>
      <c r="K254" s="135"/>
      <c r="L254" s="81">
        <f t="shared" si="199"/>
        <v>-5206.8</v>
      </c>
      <c r="M254" s="80">
        <f t="shared" si="200"/>
        <v>0.58899999999999997</v>
      </c>
      <c r="N254" s="82" t="e">
        <f>H254-#REF!</f>
        <v>#REF!</v>
      </c>
    </row>
    <row r="255" spans="1:14" ht="13.5" hidden="1" customHeight="1">
      <c r="A255" s="74" t="s">
        <v>10</v>
      </c>
      <c r="B255" s="79" t="s">
        <v>70</v>
      </c>
      <c r="C255" s="86"/>
      <c r="D255" s="100"/>
      <c r="E255" s="100"/>
      <c r="F255" s="100"/>
      <c r="G255" s="100"/>
      <c r="H255" s="100"/>
      <c r="I255" s="135">
        <f t="shared" si="198"/>
        <v>0</v>
      </c>
      <c r="J255" s="135"/>
      <c r="K255" s="135"/>
      <c r="L255" s="81">
        <f t="shared" si="199"/>
        <v>0</v>
      </c>
      <c r="M255" s="80" t="e">
        <f t="shared" si="200"/>
        <v>#DIV/0!</v>
      </c>
      <c r="N255" s="82" t="e">
        <f>H255-#REF!</f>
        <v>#REF!</v>
      </c>
    </row>
    <row r="256" spans="1:14" ht="13.5" hidden="1" customHeight="1">
      <c r="A256" s="74"/>
      <c r="B256" s="79" t="s">
        <v>104</v>
      </c>
      <c r="C256" s="76">
        <f>C101+C103+C135+C175+C190+C208+C229</f>
        <v>991984.6</v>
      </c>
      <c r="D256" s="76">
        <f>D101+D103+D135+D175+D190+D208+D229</f>
        <v>1109033.1000000001</v>
      </c>
      <c r="E256" s="76"/>
      <c r="F256" s="76"/>
      <c r="G256" s="76">
        <f>G101+G103+G135+G175+G190+G208+G229</f>
        <v>534050.4</v>
      </c>
      <c r="H256" s="76">
        <f>H101+H103+H135+H175+H190+H208+H229</f>
        <v>687728.1</v>
      </c>
      <c r="I256" s="135">
        <f t="shared" si="198"/>
        <v>0.78400000000000003</v>
      </c>
      <c r="J256" s="135"/>
      <c r="K256" s="135"/>
      <c r="L256" s="81">
        <f t="shared" si="199"/>
        <v>-421305</v>
      </c>
      <c r="M256" s="80">
        <f t="shared" si="200"/>
        <v>0.62</v>
      </c>
      <c r="N256" s="82" t="e">
        <f>H256-#REF!</f>
        <v>#REF!</v>
      </c>
    </row>
    <row r="257" spans="1:14">
      <c r="B257" s="182"/>
      <c r="C257" s="230"/>
      <c r="D257" s="230"/>
      <c r="E257" s="230"/>
      <c r="F257" s="230"/>
      <c r="G257" s="230"/>
      <c r="H257" s="230"/>
      <c r="I257" s="230"/>
      <c r="J257" s="230"/>
      <c r="K257" s="230"/>
      <c r="L257" s="230"/>
      <c r="M257" s="230"/>
      <c r="N257" s="230"/>
    </row>
    <row r="258" spans="1:14">
      <c r="A258" s="56"/>
      <c r="C258" s="229"/>
      <c r="D258" s="26"/>
      <c r="E258" s="26"/>
      <c r="F258" s="26"/>
      <c r="I258" s="54" t="s">
        <v>10</v>
      </c>
      <c r="J258" s="54"/>
      <c r="K258" s="54"/>
    </row>
    <row r="259" spans="1:14">
      <c r="B259" s="59"/>
      <c r="C259" s="60"/>
      <c r="D259" s="61"/>
      <c r="E259" s="61"/>
      <c r="F259" s="61"/>
      <c r="G259" s="31"/>
      <c r="H259" s="31"/>
      <c r="I259" s="62"/>
      <c r="J259" s="62"/>
      <c r="K259" s="62"/>
      <c r="L259" s="62"/>
      <c r="M259" s="54" t="s">
        <v>10</v>
      </c>
      <c r="N259" s="2"/>
    </row>
    <row r="260" spans="1:14">
      <c r="B260" s="63"/>
      <c r="C260" s="63"/>
      <c r="D260" s="61"/>
      <c r="E260" s="61"/>
      <c r="F260" s="61"/>
      <c r="G260" s="62"/>
      <c r="H260" s="62"/>
      <c r="I260" s="62"/>
      <c r="J260" s="62"/>
      <c r="K260" s="62"/>
      <c r="L260" s="64"/>
    </row>
    <row r="261" spans="1:14">
      <c r="I261" s="54"/>
      <c r="J261" s="54"/>
      <c r="K261" s="54"/>
    </row>
    <row r="262" spans="1:14">
      <c r="I262" s="54"/>
      <c r="J262" s="54"/>
      <c r="K262" s="54"/>
    </row>
    <row r="263" spans="1:14">
      <c r="I263" s="54"/>
      <c r="J263" s="54"/>
      <c r="K263" s="54"/>
    </row>
    <row r="264" spans="1:14">
      <c r="I264" s="54"/>
      <c r="J264" s="54"/>
      <c r="K264" s="54"/>
    </row>
    <row r="265" spans="1:14">
      <c r="I265" s="54"/>
      <c r="J265" s="54"/>
      <c r="K265" s="54"/>
    </row>
    <row r="266" spans="1:14">
      <c r="I266" s="54"/>
      <c r="J266" s="54"/>
      <c r="K266" s="54"/>
    </row>
    <row r="267" spans="1:14">
      <c r="I267" s="54"/>
      <c r="J267" s="54"/>
      <c r="K267" s="54"/>
    </row>
    <row r="268" spans="1:14">
      <c r="I268" s="54"/>
      <c r="J268" s="54"/>
      <c r="K268" s="54"/>
    </row>
    <row r="269" spans="1:14">
      <c r="I269" s="54"/>
      <c r="J269" s="54"/>
      <c r="K269" s="54"/>
    </row>
    <row r="270" spans="1:14">
      <c r="I270" s="54"/>
      <c r="J270" s="54"/>
      <c r="K270" s="54"/>
    </row>
    <row r="271" spans="1:14">
      <c r="I271" s="54"/>
      <c r="J271" s="54"/>
      <c r="K271" s="54"/>
    </row>
    <row r="272" spans="1:14">
      <c r="I272" s="54"/>
      <c r="J272" s="54"/>
      <c r="K272" s="54"/>
    </row>
    <row r="273" spans="9:11">
      <c r="I273" s="54"/>
      <c r="J273" s="54"/>
      <c r="K273" s="54"/>
    </row>
    <row r="274" spans="9:11">
      <c r="I274" s="54"/>
      <c r="J274" s="54"/>
      <c r="K274" s="54"/>
    </row>
    <row r="275" spans="9:11">
      <c r="I275" s="54"/>
      <c r="J275" s="54"/>
      <c r="K275" s="54"/>
    </row>
    <row r="276" spans="9:11">
      <c r="I276" s="54"/>
      <c r="J276" s="54"/>
      <c r="K276" s="54"/>
    </row>
    <row r="277" spans="9:11">
      <c r="I277" s="54"/>
      <c r="J277" s="54"/>
      <c r="K277" s="54"/>
    </row>
    <row r="278" spans="9:11">
      <c r="I278" s="54"/>
      <c r="J278" s="54"/>
      <c r="K278" s="54"/>
    </row>
    <row r="279" spans="9:11">
      <c r="I279" s="54"/>
      <c r="J279" s="54"/>
      <c r="K279" s="54"/>
    </row>
    <row r="280" spans="9:11">
      <c r="I280" s="54"/>
      <c r="J280" s="54"/>
      <c r="K280" s="54"/>
    </row>
    <row r="281" spans="9:11">
      <c r="I281" s="54"/>
      <c r="J281" s="54"/>
      <c r="K281" s="54"/>
    </row>
    <row r="282" spans="9:11">
      <c r="I282" s="54"/>
      <c r="J282" s="54"/>
      <c r="K282" s="54"/>
    </row>
    <row r="283" spans="9:11">
      <c r="I283" s="54"/>
      <c r="J283" s="54"/>
      <c r="K283" s="54"/>
    </row>
    <row r="284" spans="9:11">
      <c r="I284" s="54"/>
      <c r="J284" s="54"/>
      <c r="K284" s="54"/>
    </row>
    <row r="285" spans="9:11">
      <c r="I285" s="54"/>
      <c r="J285" s="54"/>
      <c r="K285" s="54"/>
    </row>
    <row r="286" spans="9:11">
      <c r="I286" s="54"/>
      <c r="J286" s="54"/>
      <c r="K286" s="54"/>
    </row>
    <row r="287" spans="9:11">
      <c r="I287" s="54"/>
      <c r="J287" s="54"/>
      <c r="K287" s="54"/>
    </row>
    <row r="288" spans="9:11">
      <c r="I288" s="54"/>
      <c r="J288" s="54"/>
      <c r="K288" s="54"/>
    </row>
    <row r="289" spans="9:11">
      <c r="I289" s="54"/>
      <c r="J289" s="54"/>
      <c r="K289" s="54"/>
    </row>
    <row r="290" spans="9:11">
      <c r="I290" s="54"/>
      <c r="J290" s="54"/>
      <c r="K290" s="54"/>
    </row>
    <row r="291" spans="9:11">
      <c r="I291" s="54"/>
      <c r="J291" s="54"/>
      <c r="K291" s="54"/>
    </row>
    <row r="292" spans="9:11">
      <c r="I292" s="54"/>
      <c r="J292" s="54"/>
      <c r="K292" s="54"/>
    </row>
    <row r="293" spans="9:11">
      <c r="I293" s="54"/>
      <c r="J293" s="54"/>
      <c r="K293" s="54"/>
    </row>
    <row r="294" spans="9:11">
      <c r="I294" s="54"/>
      <c r="J294" s="54"/>
      <c r="K294" s="54"/>
    </row>
    <row r="295" spans="9:11">
      <c r="I295" s="54"/>
      <c r="J295" s="54"/>
      <c r="K295" s="54"/>
    </row>
    <row r="296" spans="9:11">
      <c r="I296" s="54"/>
      <c r="J296" s="54"/>
      <c r="K296" s="54"/>
    </row>
    <row r="297" spans="9:11">
      <c r="I297" s="54"/>
      <c r="J297" s="54"/>
      <c r="K297" s="54"/>
    </row>
    <row r="298" spans="9:11">
      <c r="I298" s="54"/>
      <c r="J298" s="54"/>
      <c r="K298" s="54"/>
    </row>
    <row r="299" spans="9:11">
      <c r="I299" s="54"/>
      <c r="J299" s="54"/>
      <c r="K299" s="54"/>
    </row>
    <row r="300" spans="9:11">
      <c r="I300" s="54"/>
      <c r="J300" s="54"/>
      <c r="K300" s="54"/>
    </row>
    <row r="301" spans="9:11">
      <c r="I301" s="54"/>
      <c r="J301" s="54"/>
      <c r="K301" s="54"/>
    </row>
    <row r="302" spans="9:11">
      <c r="I302" s="54"/>
      <c r="J302" s="54"/>
      <c r="K302" s="54"/>
    </row>
    <row r="303" spans="9:11">
      <c r="I303" s="54"/>
      <c r="J303" s="54"/>
      <c r="K303" s="54"/>
    </row>
    <row r="304" spans="9:11">
      <c r="I304" s="54"/>
      <c r="J304" s="54"/>
      <c r="K304" s="54"/>
    </row>
    <row r="305" spans="9:11">
      <c r="I305" s="54"/>
      <c r="J305" s="54"/>
      <c r="K305" s="54"/>
    </row>
    <row r="306" spans="9:11">
      <c r="I306" s="54"/>
      <c r="J306" s="54"/>
      <c r="K306" s="54"/>
    </row>
    <row r="307" spans="9:11">
      <c r="I307" s="54"/>
      <c r="J307" s="54"/>
      <c r="K307" s="54"/>
    </row>
    <row r="308" spans="9:11">
      <c r="I308" s="54"/>
      <c r="J308" s="54"/>
      <c r="K308" s="54"/>
    </row>
    <row r="309" spans="9:11">
      <c r="I309" s="54"/>
      <c r="J309" s="54"/>
      <c r="K309" s="54"/>
    </row>
    <row r="310" spans="9:11">
      <c r="I310" s="54"/>
      <c r="J310" s="54"/>
      <c r="K310" s="54"/>
    </row>
    <row r="311" spans="9:11">
      <c r="I311" s="54"/>
      <c r="J311" s="54"/>
      <c r="K311" s="54"/>
    </row>
    <row r="312" spans="9:11">
      <c r="I312" s="54"/>
      <c r="J312" s="54"/>
      <c r="K312" s="54"/>
    </row>
    <row r="313" spans="9:11">
      <c r="I313" s="54"/>
      <c r="J313" s="54"/>
      <c r="K313" s="54"/>
    </row>
    <row r="314" spans="9:11">
      <c r="I314" s="54"/>
      <c r="J314" s="54"/>
      <c r="K314" s="54"/>
    </row>
    <row r="315" spans="9:11">
      <c r="I315" s="54"/>
      <c r="J315" s="54"/>
      <c r="K315" s="54"/>
    </row>
    <row r="316" spans="9:11">
      <c r="I316" s="54"/>
      <c r="J316" s="54"/>
      <c r="K316" s="54"/>
    </row>
    <row r="317" spans="9:11">
      <c r="I317" s="54"/>
      <c r="J317" s="54"/>
      <c r="K317" s="54"/>
    </row>
    <row r="318" spans="9:11">
      <c r="I318" s="54"/>
      <c r="J318" s="54"/>
      <c r="K318" s="54"/>
    </row>
    <row r="319" spans="9:11">
      <c r="I319" s="54"/>
      <c r="J319" s="54"/>
      <c r="K319" s="54"/>
    </row>
    <row r="320" spans="9:11">
      <c r="I320" s="54"/>
      <c r="J320" s="54"/>
      <c r="K320" s="54"/>
    </row>
    <row r="321" spans="9:11">
      <c r="I321" s="54"/>
      <c r="J321" s="54"/>
      <c r="K321" s="54"/>
    </row>
    <row r="322" spans="9:11">
      <c r="I322" s="54"/>
      <c r="J322" s="54"/>
      <c r="K322" s="54"/>
    </row>
    <row r="323" spans="9:11">
      <c r="I323" s="54"/>
      <c r="J323" s="54"/>
      <c r="K323" s="54"/>
    </row>
    <row r="324" spans="9:11">
      <c r="I324" s="54"/>
      <c r="J324" s="54"/>
      <c r="K324" s="54"/>
    </row>
    <row r="325" spans="9:11">
      <c r="I325" s="54"/>
      <c r="J325" s="54"/>
      <c r="K325" s="54"/>
    </row>
    <row r="326" spans="9:11">
      <c r="I326" s="54"/>
      <c r="J326" s="54"/>
      <c r="K326" s="54"/>
    </row>
    <row r="327" spans="9:11">
      <c r="I327" s="54"/>
      <c r="J327" s="54"/>
      <c r="K327" s="54"/>
    </row>
    <row r="328" spans="9:11">
      <c r="I328" s="54"/>
      <c r="J328" s="54"/>
      <c r="K328" s="54"/>
    </row>
    <row r="329" spans="9:11">
      <c r="I329" s="54"/>
      <c r="J329" s="54"/>
      <c r="K329" s="54"/>
    </row>
    <row r="330" spans="9:11">
      <c r="I330" s="54"/>
      <c r="J330" s="54"/>
      <c r="K330" s="54"/>
    </row>
    <row r="331" spans="9:11">
      <c r="I331" s="54"/>
      <c r="J331" s="54"/>
      <c r="K331" s="54"/>
    </row>
    <row r="332" spans="9:11">
      <c r="I332" s="54"/>
      <c r="J332" s="54"/>
      <c r="K332" s="54"/>
    </row>
    <row r="333" spans="9:11">
      <c r="I333" s="54"/>
      <c r="J333" s="54"/>
      <c r="K333" s="54"/>
    </row>
    <row r="334" spans="9:11">
      <c r="I334" s="54"/>
      <c r="J334" s="54"/>
      <c r="K334" s="54"/>
    </row>
    <row r="335" spans="9:11">
      <c r="I335" s="54"/>
      <c r="J335" s="54"/>
      <c r="K335" s="54"/>
    </row>
    <row r="336" spans="9:11">
      <c r="I336" s="54"/>
      <c r="J336" s="54"/>
      <c r="K336" s="54"/>
    </row>
    <row r="337" spans="9:11">
      <c r="I337" s="54"/>
      <c r="J337" s="54"/>
      <c r="K337" s="54"/>
    </row>
    <row r="338" spans="9:11">
      <c r="I338" s="54"/>
      <c r="J338" s="54"/>
      <c r="K338" s="54"/>
    </row>
    <row r="339" spans="9:11">
      <c r="I339" s="54"/>
      <c r="J339" s="54"/>
      <c r="K339" s="54"/>
    </row>
    <row r="340" spans="9:11">
      <c r="I340" s="54"/>
      <c r="J340" s="54"/>
      <c r="K340" s="54"/>
    </row>
    <row r="341" spans="9:11">
      <c r="I341" s="54"/>
      <c r="J341" s="54"/>
      <c r="K341" s="54"/>
    </row>
    <row r="342" spans="9:11">
      <c r="I342" s="54"/>
      <c r="J342" s="54"/>
      <c r="K342" s="54"/>
    </row>
    <row r="343" spans="9:11">
      <c r="I343" s="54"/>
      <c r="J343" s="54"/>
      <c r="K343" s="54"/>
    </row>
    <row r="344" spans="9:11">
      <c r="I344" s="54"/>
      <c r="J344" s="54"/>
      <c r="K344" s="54"/>
    </row>
    <row r="345" spans="9:11">
      <c r="I345" s="54"/>
      <c r="J345" s="54"/>
      <c r="K345" s="54"/>
    </row>
    <row r="346" spans="9:11">
      <c r="I346" s="54"/>
      <c r="J346" s="54"/>
      <c r="K346" s="54"/>
    </row>
    <row r="347" spans="9:11">
      <c r="I347" s="54"/>
      <c r="J347" s="54"/>
      <c r="K347" s="54"/>
    </row>
    <row r="348" spans="9:11">
      <c r="I348" s="54"/>
      <c r="J348" s="54"/>
      <c r="K348" s="54"/>
    </row>
    <row r="349" spans="9:11">
      <c r="I349" s="54"/>
      <c r="J349" s="54"/>
      <c r="K349" s="54"/>
    </row>
    <row r="350" spans="9:11">
      <c r="I350" s="54"/>
      <c r="J350" s="54"/>
      <c r="K350" s="54"/>
    </row>
    <row r="351" spans="9:11">
      <c r="I351" s="54"/>
      <c r="J351" s="54"/>
      <c r="K351" s="54"/>
    </row>
    <row r="352" spans="9:11">
      <c r="I352" s="54"/>
      <c r="J352" s="54"/>
      <c r="K352" s="54"/>
    </row>
    <row r="353" spans="9:11">
      <c r="I353" s="54"/>
      <c r="J353" s="54"/>
      <c r="K353" s="54"/>
    </row>
    <row r="354" spans="9:11">
      <c r="I354" s="54"/>
      <c r="J354" s="54"/>
      <c r="K354" s="54"/>
    </row>
    <row r="355" spans="9:11">
      <c r="I355" s="54"/>
      <c r="J355" s="54"/>
      <c r="K355" s="54"/>
    </row>
    <row r="356" spans="9:11">
      <c r="I356" s="54"/>
      <c r="J356" s="54"/>
      <c r="K356" s="54"/>
    </row>
    <row r="357" spans="9:11">
      <c r="I357" s="54"/>
      <c r="J357" s="54"/>
      <c r="K357" s="54"/>
    </row>
    <row r="358" spans="9:11">
      <c r="I358" s="54"/>
      <c r="J358" s="54"/>
      <c r="K358" s="54"/>
    </row>
    <row r="359" spans="9:11">
      <c r="I359" s="54"/>
      <c r="J359" s="54"/>
      <c r="K359" s="54"/>
    </row>
    <row r="360" spans="9:11">
      <c r="I360" s="54"/>
      <c r="J360" s="54"/>
      <c r="K360" s="54"/>
    </row>
    <row r="361" spans="9:11">
      <c r="I361" s="54"/>
      <c r="J361" s="54"/>
      <c r="K361" s="54"/>
    </row>
    <row r="362" spans="9:11">
      <c r="I362" s="54"/>
      <c r="J362" s="54"/>
      <c r="K362" s="54"/>
    </row>
    <row r="363" spans="9:11">
      <c r="I363" s="54"/>
      <c r="J363" s="54"/>
      <c r="K363" s="54"/>
    </row>
    <row r="364" spans="9:11">
      <c r="I364" s="54"/>
      <c r="J364" s="54"/>
      <c r="K364" s="54"/>
    </row>
    <row r="365" spans="9:11">
      <c r="I365" s="54"/>
      <c r="J365" s="54"/>
      <c r="K365" s="54"/>
    </row>
    <row r="366" spans="9:11">
      <c r="I366" s="54"/>
      <c r="J366" s="54"/>
      <c r="K366" s="54"/>
    </row>
    <row r="367" spans="9:11">
      <c r="I367" s="54"/>
      <c r="J367" s="54"/>
      <c r="K367" s="54"/>
    </row>
    <row r="368" spans="9:11">
      <c r="I368" s="54"/>
      <c r="J368" s="54"/>
      <c r="K368" s="54"/>
    </row>
    <row r="369" spans="9:11">
      <c r="I369" s="54"/>
      <c r="J369" s="54"/>
      <c r="K369" s="54"/>
    </row>
    <row r="370" spans="9:11">
      <c r="I370" s="54"/>
      <c r="J370" s="54"/>
      <c r="K370" s="54"/>
    </row>
    <row r="371" spans="9:11">
      <c r="I371" s="54"/>
      <c r="J371" s="54"/>
      <c r="K371" s="54"/>
    </row>
    <row r="372" spans="9:11">
      <c r="I372" s="54"/>
      <c r="J372" s="54"/>
      <c r="K372" s="54"/>
    </row>
    <row r="373" spans="9:11">
      <c r="I373" s="54"/>
      <c r="J373" s="54"/>
      <c r="K373" s="54"/>
    </row>
    <row r="374" spans="9:11">
      <c r="I374" s="54"/>
      <c r="J374" s="54"/>
      <c r="K374" s="54"/>
    </row>
    <row r="375" spans="9:11">
      <c r="I375" s="54"/>
      <c r="J375" s="54"/>
      <c r="K375" s="54"/>
    </row>
    <row r="376" spans="9:11">
      <c r="I376" s="54"/>
      <c r="J376" s="54"/>
      <c r="K376" s="54"/>
    </row>
    <row r="377" spans="9:11">
      <c r="I377" s="54"/>
      <c r="J377" s="54"/>
      <c r="K377" s="54"/>
    </row>
    <row r="378" spans="9:11">
      <c r="I378" s="54"/>
      <c r="J378" s="54"/>
      <c r="K378" s="54"/>
    </row>
    <row r="379" spans="9:11">
      <c r="I379" s="54"/>
      <c r="J379" s="54"/>
      <c r="K379" s="54"/>
    </row>
    <row r="380" spans="9:11">
      <c r="I380" s="54"/>
      <c r="J380" s="54"/>
      <c r="K380" s="54"/>
    </row>
    <row r="381" spans="9:11">
      <c r="I381" s="54"/>
      <c r="J381" s="54"/>
      <c r="K381" s="54"/>
    </row>
    <row r="382" spans="9:11">
      <c r="I382" s="54"/>
      <c r="J382" s="54"/>
      <c r="K382" s="54"/>
    </row>
    <row r="383" spans="9:11">
      <c r="I383" s="54"/>
      <c r="J383" s="54"/>
      <c r="K383" s="54"/>
    </row>
    <row r="384" spans="9:11">
      <c r="I384" s="54"/>
      <c r="J384" s="54"/>
      <c r="K384" s="54"/>
    </row>
    <row r="385" spans="9:11">
      <c r="I385" s="54"/>
      <c r="J385" s="54"/>
      <c r="K385" s="54"/>
    </row>
    <row r="386" spans="9:11">
      <c r="I386" s="54"/>
      <c r="J386" s="54"/>
      <c r="K386" s="54"/>
    </row>
    <row r="387" spans="9:11">
      <c r="I387" s="54"/>
      <c r="J387" s="54"/>
      <c r="K387" s="54"/>
    </row>
    <row r="388" spans="9:11">
      <c r="I388" s="54"/>
      <c r="J388" s="54"/>
      <c r="K388" s="54"/>
    </row>
    <row r="389" spans="9:11">
      <c r="I389" s="54"/>
      <c r="J389" s="54"/>
      <c r="K389" s="54"/>
    </row>
    <row r="390" spans="9:11">
      <c r="I390" s="54"/>
      <c r="J390" s="54"/>
      <c r="K390" s="54"/>
    </row>
    <row r="391" spans="9:11">
      <c r="I391" s="54"/>
      <c r="J391" s="54"/>
      <c r="K391" s="54"/>
    </row>
    <row r="392" spans="9:11">
      <c r="I392" s="54"/>
      <c r="J392" s="54"/>
      <c r="K392" s="54"/>
    </row>
    <row r="393" spans="9:11">
      <c r="I393" s="54"/>
      <c r="J393" s="54"/>
      <c r="K393" s="54"/>
    </row>
    <row r="394" spans="9:11">
      <c r="I394" s="54"/>
      <c r="J394" s="54"/>
      <c r="K394" s="54"/>
    </row>
    <row r="395" spans="9:11">
      <c r="I395" s="54"/>
      <c r="J395" s="54"/>
      <c r="K395" s="54"/>
    </row>
    <row r="396" spans="9:11">
      <c r="I396" s="54"/>
      <c r="J396" s="54"/>
      <c r="K396" s="54"/>
    </row>
    <row r="397" spans="9:11">
      <c r="I397" s="54"/>
      <c r="J397" s="54"/>
      <c r="K397" s="54"/>
    </row>
    <row r="398" spans="9:11">
      <c r="I398" s="54"/>
      <c r="J398" s="54"/>
      <c r="K398" s="54"/>
    </row>
    <row r="399" spans="9:11">
      <c r="I399" s="54"/>
      <c r="J399" s="54"/>
      <c r="K399" s="54"/>
    </row>
    <row r="400" spans="9:11">
      <c r="I400" s="54"/>
      <c r="J400" s="54"/>
      <c r="K400" s="54"/>
    </row>
    <row r="401" spans="9:11">
      <c r="I401" s="54"/>
      <c r="J401" s="54"/>
      <c r="K401" s="54"/>
    </row>
    <row r="402" spans="9:11">
      <c r="I402" s="54"/>
      <c r="J402" s="54"/>
      <c r="K402" s="54"/>
    </row>
    <row r="403" spans="9:11">
      <c r="I403" s="54"/>
      <c r="J403" s="54"/>
      <c r="K403" s="54"/>
    </row>
    <row r="404" spans="9:11">
      <c r="I404" s="54"/>
      <c r="J404" s="54"/>
      <c r="K404" s="54"/>
    </row>
    <row r="405" spans="9:11">
      <c r="I405" s="54"/>
      <c r="J405" s="54"/>
      <c r="K405" s="54"/>
    </row>
    <row r="406" spans="9:11">
      <c r="I406" s="54"/>
      <c r="J406" s="54"/>
      <c r="K406" s="54"/>
    </row>
    <row r="407" spans="9:11">
      <c r="I407" s="54"/>
      <c r="J407" s="54"/>
      <c r="K407" s="54"/>
    </row>
    <row r="408" spans="9:11">
      <c r="I408" s="54"/>
      <c r="J408" s="54"/>
      <c r="K408" s="54"/>
    </row>
    <row r="409" spans="9:11">
      <c r="I409" s="54"/>
      <c r="J409" s="54"/>
      <c r="K409" s="54"/>
    </row>
    <row r="410" spans="9:11">
      <c r="I410" s="54"/>
      <c r="J410" s="54"/>
      <c r="K410" s="54"/>
    </row>
    <row r="411" spans="9:11">
      <c r="I411" s="54"/>
      <c r="J411" s="54"/>
      <c r="K411" s="54"/>
    </row>
    <row r="412" spans="9:11">
      <c r="I412" s="54"/>
      <c r="J412" s="54"/>
      <c r="K412" s="54"/>
    </row>
    <row r="413" spans="9:11">
      <c r="I413" s="54"/>
      <c r="J413" s="54"/>
      <c r="K413" s="54"/>
    </row>
    <row r="414" spans="9:11">
      <c r="I414" s="54"/>
      <c r="J414" s="54"/>
      <c r="K414" s="54"/>
    </row>
    <row r="415" spans="9:11">
      <c r="I415" s="54"/>
      <c r="J415" s="54"/>
      <c r="K415" s="54"/>
    </row>
    <row r="416" spans="9:11">
      <c r="I416" s="54"/>
      <c r="J416" s="54"/>
      <c r="K416" s="54"/>
    </row>
    <row r="417" spans="9:11">
      <c r="I417" s="54"/>
      <c r="J417" s="54"/>
      <c r="K417" s="54"/>
    </row>
    <row r="418" spans="9:11">
      <c r="I418" s="54"/>
      <c r="J418" s="54"/>
      <c r="K418" s="54"/>
    </row>
    <row r="419" spans="9:11">
      <c r="I419" s="54"/>
      <c r="J419" s="54"/>
      <c r="K419" s="54"/>
    </row>
    <row r="420" spans="9:11">
      <c r="I420" s="54"/>
      <c r="J420" s="54"/>
      <c r="K420" s="54"/>
    </row>
    <row r="421" spans="9:11">
      <c r="I421" s="54"/>
      <c r="J421" s="54"/>
      <c r="K421" s="54"/>
    </row>
    <row r="422" spans="9:11">
      <c r="I422" s="54"/>
      <c r="J422" s="54"/>
      <c r="K422" s="54"/>
    </row>
    <row r="423" spans="9:11">
      <c r="I423" s="54"/>
      <c r="J423" s="54"/>
      <c r="K423" s="54"/>
    </row>
    <row r="424" spans="9:11">
      <c r="I424" s="54"/>
      <c r="J424" s="54"/>
      <c r="K424" s="54"/>
    </row>
    <row r="425" spans="9:11">
      <c r="I425" s="54"/>
      <c r="J425" s="54"/>
      <c r="K425" s="54"/>
    </row>
    <row r="426" spans="9:11">
      <c r="I426" s="54"/>
      <c r="J426" s="54"/>
      <c r="K426" s="54"/>
    </row>
    <row r="427" spans="9:11">
      <c r="I427" s="54"/>
      <c r="J427" s="54"/>
      <c r="K427" s="54"/>
    </row>
    <row r="428" spans="9:11">
      <c r="I428" s="54"/>
      <c r="J428" s="54"/>
      <c r="K428" s="54"/>
    </row>
    <row r="429" spans="9:11">
      <c r="I429" s="54"/>
      <c r="J429" s="54"/>
      <c r="K429" s="54"/>
    </row>
    <row r="430" spans="9:11">
      <c r="I430" s="54"/>
      <c r="J430" s="54"/>
      <c r="K430" s="54"/>
    </row>
    <row r="431" spans="9:11">
      <c r="I431" s="54"/>
      <c r="J431" s="54"/>
      <c r="K431" s="54"/>
    </row>
    <row r="432" spans="9:11">
      <c r="I432" s="54"/>
      <c r="J432" s="54"/>
      <c r="K432" s="54"/>
    </row>
    <row r="433" spans="9:11">
      <c r="I433" s="54"/>
      <c r="J433" s="54"/>
      <c r="K433" s="54"/>
    </row>
    <row r="434" spans="9:11">
      <c r="I434" s="54"/>
      <c r="J434" s="54"/>
      <c r="K434" s="54"/>
    </row>
    <row r="435" spans="9:11">
      <c r="I435" s="54"/>
      <c r="J435" s="54"/>
      <c r="K435" s="54"/>
    </row>
    <row r="436" spans="9:11">
      <c r="I436" s="54"/>
      <c r="J436" s="54"/>
      <c r="K436" s="54"/>
    </row>
    <row r="437" spans="9:11">
      <c r="I437" s="54"/>
      <c r="J437" s="54"/>
      <c r="K437" s="54"/>
    </row>
    <row r="438" spans="9:11">
      <c r="I438" s="54"/>
      <c r="J438" s="54"/>
      <c r="K438" s="54"/>
    </row>
    <row r="439" spans="9:11">
      <c r="I439" s="54"/>
      <c r="J439" s="54"/>
      <c r="K439" s="54"/>
    </row>
    <row r="440" spans="9:11">
      <c r="I440" s="54"/>
      <c r="J440" s="54"/>
      <c r="K440" s="54"/>
    </row>
    <row r="441" spans="9:11">
      <c r="I441" s="54"/>
      <c r="J441" s="54"/>
      <c r="K441" s="54"/>
    </row>
    <row r="442" spans="9:11">
      <c r="I442" s="54"/>
      <c r="J442" s="54"/>
      <c r="K442" s="54"/>
    </row>
    <row r="443" spans="9:11">
      <c r="I443" s="54"/>
      <c r="J443" s="54"/>
      <c r="K443" s="54"/>
    </row>
    <row r="444" spans="9:11">
      <c r="I444" s="54"/>
      <c r="J444" s="54"/>
      <c r="K444" s="54"/>
    </row>
    <row r="445" spans="9:11">
      <c r="I445" s="54"/>
      <c r="J445" s="54"/>
      <c r="K445" s="54"/>
    </row>
    <row r="446" spans="9:11">
      <c r="I446" s="54"/>
      <c r="J446" s="54"/>
      <c r="K446" s="54"/>
    </row>
    <row r="447" spans="9:11">
      <c r="I447" s="54"/>
      <c r="J447" s="54"/>
      <c r="K447" s="54"/>
    </row>
    <row r="448" spans="9:11">
      <c r="I448" s="54"/>
      <c r="J448" s="54"/>
      <c r="K448" s="54"/>
    </row>
    <row r="449" spans="9:11">
      <c r="I449" s="54"/>
      <c r="J449" s="54"/>
      <c r="K449" s="54"/>
    </row>
    <row r="450" spans="9:11">
      <c r="I450" s="54"/>
      <c r="J450" s="54"/>
      <c r="K450" s="54"/>
    </row>
    <row r="451" spans="9:11">
      <c r="I451" s="54"/>
      <c r="J451" s="54"/>
      <c r="K451" s="54"/>
    </row>
    <row r="452" spans="9:11">
      <c r="I452" s="54"/>
      <c r="J452" s="54"/>
      <c r="K452" s="54"/>
    </row>
    <row r="453" spans="9:11">
      <c r="I453" s="54"/>
      <c r="J453" s="54"/>
      <c r="K453" s="54"/>
    </row>
    <row r="454" spans="9:11">
      <c r="I454" s="54"/>
      <c r="J454" s="54"/>
      <c r="K454" s="54"/>
    </row>
    <row r="455" spans="9:11">
      <c r="I455" s="54"/>
      <c r="J455" s="54"/>
      <c r="K455" s="54"/>
    </row>
    <row r="456" spans="9:11">
      <c r="I456" s="54"/>
      <c r="J456" s="54"/>
      <c r="K456" s="54"/>
    </row>
    <row r="457" spans="9:11">
      <c r="I457" s="54"/>
      <c r="J457" s="54"/>
      <c r="K457" s="54"/>
    </row>
    <row r="458" spans="9:11">
      <c r="I458" s="54"/>
      <c r="J458" s="54"/>
      <c r="K458" s="54"/>
    </row>
    <row r="459" spans="9:11">
      <c r="I459" s="54"/>
      <c r="J459" s="54"/>
      <c r="K459" s="54"/>
    </row>
    <row r="460" spans="9:11">
      <c r="I460" s="54"/>
      <c r="J460" s="54"/>
      <c r="K460" s="54"/>
    </row>
    <row r="461" spans="9:11">
      <c r="I461" s="54"/>
      <c r="J461" s="54"/>
      <c r="K461" s="54"/>
    </row>
    <row r="462" spans="9:11">
      <c r="I462" s="54"/>
      <c r="J462" s="54"/>
      <c r="K462" s="54"/>
    </row>
    <row r="463" spans="9:11">
      <c r="I463" s="54"/>
      <c r="J463" s="54"/>
      <c r="K463" s="54"/>
    </row>
    <row r="464" spans="9:11">
      <c r="I464" s="54"/>
      <c r="J464" s="54"/>
      <c r="K464" s="54"/>
    </row>
    <row r="465" spans="9:11">
      <c r="I465" s="54"/>
      <c r="J465" s="54"/>
      <c r="K465" s="54"/>
    </row>
    <row r="466" spans="9:11">
      <c r="I466" s="54"/>
      <c r="J466" s="54"/>
      <c r="K466" s="54"/>
    </row>
    <row r="467" spans="9:11">
      <c r="I467" s="54"/>
      <c r="J467" s="54"/>
      <c r="K467" s="54"/>
    </row>
    <row r="468" spans="9:11">
      <c r="I468" s="54"/>
      <c r="J468" s="54"/>
      <c r="K468" s="54"/>
    </row>
    <row r="469" spans="9:11">
      <c r="I469" s="54"/>
      <c r="J469" s="54"/>
      <c r="K469" s="54"/>
    </row>
    <row r="470" spans="9:11">
      <c r="I470" s="54"/>
      <c r="J470" s="54"/>
      <c r="K470" s="54"/>
    </row>
    <row r="471" spans="9:11">
      <c r="I471" s="54"/>
      <c r="J471" s="54"/>
      <c r="K471" s="54"/>
    </row>
    <row r="472" spans="9:11">
      <c r="I472" s="54"/>
      <c r="J472" s="54"/>
      <c r="K472" s="54"/>
    </row>
    <row r="473" spans="9:11">
      <c r="I473" s="54"/>
      <c r="J473" s="54"/>
      <c r="K473" s="54"/>
    </row>
    <row r="474" spans="9:11">
      <c r="I474" s="54"/>
      <c r="J474" s="54"/>
      <c r="K474" s="54"/>
    </row>
    <row r="475" spans="9:11">
      <c r="I475" s="54"/>
      <c r="J475" s="54"/>
      <c r="K475" s="54"/>
    </row>
    <row r="476" spans="9:11">
      <c r="I476" s="54"/>
      <c r="J476" s="54"/>
      <c r="K476" s="54"/>
    </row>
    <row r="477" spans="9:11">
      <c r="I477" s="54"/>
      <c r="J477" s="54"/>
      <c r="K477" s="54"/>
    </row>
    <row r="478" spans="9:11">
      <c r="I478" s="54"/>
      <c r="J478" s="54"/>
      <c r="K478" s="54"/>
    </row>
    <row r="479" spans="9:11">
      <c r="I479" s="54"/>
      <c r="J479" s="54"/>
      <c r="K479" s="54"/>
    </row>
    <row r="480" spans="9:11">
      <c r="I480" s="54"/>
      <c r="J480" s="54"/>
      <c r="K480" s="54"/>
    </row>
    <row r="481" spans="9:11">
      <c r="I481" s="54"/>
      <c r="J481" s="54"/>
      <c r="K481" s="54"/>
    </row>
    <row r="482" spans="9:11">
      <c r="I482" s="54"/>
      <c r="J482" s="54"/>
      <c r="K482" s="54"/>
    </row>
    <row r="483" spans="9:11">
      <c r="I483" s="54"/>
      <c r="J483" s="54"/>
      <c r="K483" s="54"/>
    </row>
    <row r="484" spans="9:11">
      <c r="I484" s="54"/>
      <c r="J484" s="54"/>
      <c r="K484" s="54"/>
    </row>
    <row r="485" spans="9:11">
      <c r="I485" s="54"/>
      <c r="J485" s="54"/>
      <c r="K485" s="54"/>
    </row>
    <row r="486" spans="9:11">
      <c r="I486" s="54"/>
      <c r="J486" s="54"/>
      <c r="K486" s="54"/>
    </row>
    <row r="487" spans="9:11">
      <c r="I487" s="54"/>
      <c r="J487" s="54"/>
      <c r="K487" s="54"/>
    </row>
    <row r="488" spans="9:11">
      <c r="I488" s="54"/>
      <c r="J488" s="54"/>
      <c r="K488" s="54"/>
    </row>
    <row r="489" spans="9:11">
      <c r="I489" s="54"/>
      <c r="J489" s="54"/>
      <c r="K489" s="54"/>
    </row>
    <row r="490" spans="9:11">
      <c r="I490" s="54"/>
      <c r="J490" s="54"/>
      <c r="K490" s="54"/>
    </row>
    <row r="491" spans="9:11">
      <c r="I491" s="54"/>
      <c r="J491" s="54"/>
      <c r="K491" s="54"/>
    </row>
    <row r="492" spans="9:11">
      <c r="I492" s="54"/>
      <c r="J492" s="54"/>
      <c r="K492" s="54"/>
    </row>
    <row r="493" spans="9:11">
      <c r="I493" s="54"/>
      <c r="J493" s="54"/>
      <c r="K493" s="54"/>
    </row>
    <row r="494" spans="9:11">
      <c r="I494" s="54"/>
      <c r="J494" s="54"/>
      <c r="K494" s="54"/>
    </row>
    <row r="495" spans="9:11">
      <c r="I495" s="54"/>
      <c r="J495" s="54"/>
      <c r="K495" s="54"/>
    </row>
    <row r="496" spans="9:11">
      <c r="I496" s="54"/>
      <c r="J496" s="54"/>
      <c r="K496" s="54"/>
    </row>
    <row r="497" spans="9:11">
      <c r="I497" s="54"/>
      <c r="J497" s="54"/>
      <c r="K497" s="54"/>
    </row>
    <row r="498" spans="9:11">
      <c r="I498" s="54"/>
      <c r="J498" s="54"/>
      <c r="K498" s="54"/>
    </row>
    <row r="499" spans="9:11">
      <c r="I499" s="54"/>
      <c r="J499" s="54"/>
      <c r="K499" s="54"/>
    </row>
    <row r="500" spans="9:11">
      <c r="I500" s="54"/>
      <c r="J500" s="54"/>
      <c r="K500" s="54"/>
    </row>
    <row r="501" spans="9:11">
      <c r="I501" s="54"/>
      <c r="J501" s="54"/>
      <c r="K501" s="54"/>
    </row>
    <row r="502" spans="9:11">
      <c r="I502" s="54"/>
      <c r="J502" s="54"/>
      <c r="K502" s="54"/>
    </row>
    <row r="503" spans="9:11">
      <c r="I503" s="54"/>
      <c r="J503" s="54"/>
      <c r="K503" s="54"/>
    </row>
    <row r="504" spans="9:11">
      <c r="I504" s="54"/>
      <c r="J504" s="54"/>
      <c r="K504" s="54"/>
    </row>
    <row r="505" spans="9:11">
      <c r="I505" s="54"/>
      <c r="J505" s="54"/>
      <c r="K505" s="54"/>
    </row>
    <row r="506" spans="9:11">
      <c r="I506" s="54"/>
      <c r="J506" s="54"/>
      <c r="K506" s="54"/>
    </row>
    <row r="507" spans="9:11">
      <c r="I507" s="54"/>
      <c r="J507" s="54"/>
      <c r="K507" s="54"/>
    </row>
    <row r="508" spans="9:11">
      <c r="I508" s="54"/>
      <c r="J508" s="54"/>
      <c r="K508" s="54"/>
    </row>
    <row r="509" spans="9:11">
      <c r="I509" s="54"/>
      <c r="J509" s="54"/>
      <c r="K509" s="54"/>
    </row>
  </sheetData>
  <customSheetViews>
    <customSheetView guid="{0B13C6EA-3679-47F2-82B5-7AF3B83AB801}" fitToPage="1" printArea="1" hiddenRows="1" hiddenColumns="1" showRuler="0">
      <pane ySplit="5" topLeftCell="A6" activePane="bottomLeft" state="frozenSplit"/>
      <selection pane="bottomLeft" activeCell="K71" sqref="K71"/>
      <pageMargins left="0.23622047244094491" right="0.23622047244094491" top="0.35433070866141736" bottom="0.35433070866141736" header="0.31496062992125984" footer="0.31496062992125984"/>
      <pageSetup paperSize="9" scale="59" fitToHeight="0" orientation="portrait" blackAndWhite="1" horizontalDpi="4294967292" verticalDpi="4294967292" r:id="rId1"/>
      <headerFooter alignWithMargins="0">
        <oddFooter>&amp;R&amp;"Arial Narrow,обычный"&amp;8Лист &amp;P из &amp;N</oddFooter>
      </headerFooter>
    </customSheetView>
    <customSheetView guid="{CBC1421C-A5A0-43A0-A7F1-55772C8F0328}" fitToPage="1" printArea="1" hiddenRows="1" hiddenColumns="1" showRuler="0">
      <pane ySplit="5" topLeftCell="A199" activePane="bottomLeft" state="frozenSplit"/>
      <selection pane="bottomLeft" activeCell="K211" sqref="K211"/>
      <pageMargins left="0.23622047244094491" right="0.23622047244094491" top="0.35433070866141736" bottom="0.35433070866141736" header="0.31496062992125984" footer="0.31496062992125984"/>
      <pageSetup paperSize="9" scale="60" fitToHeight="0" orientation="portrait" blackAndWhite="1" horizontalDpi="4294967292" verticalDpi="4294967292" r:id="rId2"/>
      <headerFooter alignWithMargins="0">
        <oddFooter>&amp;R&amp;"Arial Narrow,обычный"&amp;8Лист &amp;P из &amp;N</oddFooter>
      </headerFooter>
    </customSheetView>
    <customSheetView guid="{0BD4437E-22A9-4FBD-A5E2-5BE85718F571}" scale="110" fitToPage="1" printArea="1" showRuler="0">
      <pane ySplit="5" topLeftCell="A54" activePane="bottomLeft" state="frozenSplit"/>
      <selection pane="bottomLeft" activeCell="E4" sqref="E4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3"/>
      <headerFooter alignWithMargins="0">
        <oddFooter>&amp;R&amp;"Arial Narrow,обычный"&amp;8Лист &amp;P из &amp;N</oddFooter>
      </headerFooter>
    </customSheetView>
    <customSheetView guid="{08EF82CC-B73D-4976-854E-2FADDE1EDAB4}" scale="110" fitToPage="1" showRuler="0">
      <pane ySplit="5" topLeftCell="A108" activePane="bottomLeft" state="frozenSplit"/>
      <selection pane="bottomLeft" activeCell="G116" sqref="G116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4"/>
      <headerFooter alignWithMargins="0">
        <oddFooter>&amp;R&amp;"Arial Narrow,обычный"&amp;8Лист &amp;P из &amp;N</oddFooter>
      </headerFooter>
    </customSheetView>
    <customSheetView guid="{6B5A71DB-8104-43F2-BE21-9362D50D2638}" fitToPage="1" printArea="1" hiddenRows="1" view="pageBreakPreview" showRuler="0">
      <pane ySplit="5" topLeftCell="A133" activePane="bottomLeft" state="frozenSplit"/>
      <selection pane="bottomLeft" activeCell="D57" sqref="D57"/>
      <rowBreaks count="60" manualBreakCount="60">
        <brk id="13" max="16383" man="1"/>
        <brk id="18" max="12" man="1"/>
        <brk id="21" max="12" man="1"/>
        <brk id="23" max="12" man="1"/>
        <brk id="26" max="12" man="1"/>
        <brk id="28" max="16383" man="1"/>
        <brk id="42" max="12" man="1"/>
        <brk id="43" max="12" man="1"/>
        <brk id="44" max="12" man="1"/>
        <brk id="45" max="12" man="1"/>
        <brk id="46" max="12" man="1"/>
        <brk id="47" max="12" man="1"/>
        <brk id="51" max="12" man="1"/>
        <brk id="63" max="12" man="1"/>
        <brk id="64" max="12" man="1"/>
        <brk id="67" max="12" man="1"/>
        <brk id="76" max="16383" man="1"/>
        <brk id="80" max="12" man="1"/>
        <brk id="81" max="16383" man="1"/>
        <brk id="84" max="12" man="1"/>
        <brk id="92" max="12" man="1"/>
        <brk id="129" max="12" man="1"/>
        <brk id="137" max="12" man="1"/>
        <brk id="138" max="12" man="1"/>
        <brk id="140" max="16383" man="1"/>
        <brk id="143" max="12" man="1"/>
        <brk id="144" max="12" man="1"/>
        <brk id="147" max="16383" man="1"/>
        <brk id="148" max="16383" man="1"/>
        <brk id="151" max="13" man="1"/>
        <brk id="152" max="16383" man="1"/>
        <brk id="153" max="13" man="1"/>
        <brk id="155" max="13" man="1"/>
        <brk id="158" max="13" man="1"/>
        <brk id="159" max="13" man="1"/>
        <brk id="161" max="13" man="1"/>
        <brk id="162" max="13" man="1"/>
        <brk id="169" max="13" man="1"/>
        <brk id="175" max="13" man="1"/>
        <brk id="176" max="13" man="1"/>
        <brk id="177" max="13" man="1"/>
        <brk id="180" max="13" man="1"/>
        <brk id="181" max="16383" man="1"/>
        <brk id="184" max="13" man="1"/>
        <brk id="186" max="16383" man="1"/>
        <brk id="188" max="16383" man="1"/>
        <brk id="189" max="13" man="1"/>
        <brk id="190" max="13" man="1"/>
        <brk id="191" max="13" man="1"/>
        <brk id="197" max="13" man="1"/>
        <brk id="199" max="13" man="1"/>
        <brk id="204" max="13" man="1"/>
        <brk id="206" max="13" man="1"/>
        <brk id="209" max="13" man="1"/>
        <brk id="211" max="13" man="1"/>
        <brk id="219" max="13" man="1"/>
        <brk id="220" max="16383" man="1"/>
        <brk id="228" max="13" man="1"/>
        <brk id="232" max="13" man="1"/>
        <brk id="240" max="13" man="1"/>
      </rowBreaks>
      <pageMargins left="0.27559055118110237" right="0.19685039370078741" top="0.31496062992125984" bottom="0.19685039370078741" header="0.15748031496062992" footer="0.19685039370078741"/>
      <pageSetup paperSize="9" scale="87" fitToHeight="14" orientation="landscape" blackAndWhite="1" horizontalDpi="4294967292" verticalDpi="4294967292" r:id="rId5"/>
      <headerFooter alignWithMargins="0">
        <oddFooter>&amp;R&amp;"Arial Narrow,обычный"&amp;8Лист &amp;P из &amp;N</oddFooter>
      </headerFooter>
    </customSheetView>
    <customSheetView guid="{D467516B-79C5-4C0A-A5E2-1E73FB77BFFC}" showPageBreaks="1" fitToPage="1" showRuler="0">
      <pane xSplit="2" ySplit="4" topLeftCell="C89" activePane="bottomRight" state="frozenSplit"/>
      <selection pane="bottomRight" activeCell="D107" sqref="D107"/>
      <rowBreaks count="74" manualBreakCount="74">
        <brk id="13" max="13" man="1"/>
        <brk id="14" max="16383" man="1"/>
        <brk id="16" max="16383" man="1"/>
        <brk id="18" max="16383" man="1"/>
        <brk id="22" max="16383" man="1"/>
        <brk id="23" max="13" man="1"/>
        <brk id="24" max="16383" man="1"/>
        <brk id="25" max="16383" man="1"/>
        <brk id="26" max="16383" man="1"/>
        <brk id="27" max="16383" man="1"/>
        <brk id="28" max="16383" man="1"/>
        <brk id="29" max="16383" man="1"/>
        <brk id="30" max="16383" man="1"/>
        <brk id="31" max="16383" man="1"/>
        <brk id="32" max="16383" man="1"/>
        <brk id="33" max="16383" man="1"/>
        <brk id="35" max="16383" man="1"/>
        <brk id="36" max="16383" man="1"/>
        <brk id="37" max="16383" man="1"/>
        <brk id="38" max="16383" man="1"/>
        <brk id="39" max="13" man="1"/>
        <brk id="40" max="16383" man="1"/>
        <brk id="42" max="16383" man="1"/>
        <brk id="43" max="16383" man="1"/>
        <brk id="44" max="16383" man="1"/>
        <brk id="45" max="16383" man="1"/>
        <brk id="46" max="16383" man="1"/>
        <brk id="47" max="16383" man="1"/>
        <brk id="48" max="16383" man="1"/>
        <brk id="49" max="16383" man="1"/>
        <brk id="50" max="16383" man="1"/>
        <brk id="51" max="13" man="1"/>
        <brk id="52" max="16383" man="1"/>
        <brk id="56" max="13" man="1"/>
        <brk id="58" max="10" man="1"/>
        <brk id="59" max="16383" man="1"/>
        <brk id="62" max="16383" man="1"/>
        <brk id="73" max="13" man="1"/>
        <brk id="74" max="13" man="1"/>
        <brk id="76" max="13" man="1"/>
        <brk id="80" max="13" man="1"/>
        <brk id="81" max="16383" man="1"/>
        <brk id="85" max="16383" man="1"/>
        <brk id="86" max="16383" man="1"/>
        <brk id="87" max="16383" man="1"/>
        <brk id="88" max="13" man="1"/>
        <brk id="91" max="16383" man="1"/>
        <brk id="92" max="13" man="1"/>
        <brk id="94" max="13" man="1"/>
        <brk id="95" max="16383" man="1"/>
        <brk id="96" max="16383" man="1"/>
        <brk id="97" max="16383" man="1"/>
        <brk id="98" max="16383" man="1"/>
        <brk id="100" max="16383" man="1"/>
        <brk id="101" max="13" man="1"/>
        <brk id="107" max="10" man="1"/>
        <brk id="108" max="16383" man="1"/>
        <brk id="109" max="13" man="1"/>
        <brk id="110" max="16383" man="1"/>
        <brk id="112" max="13" man="1"/>
        <brk id="114" max="16383" man="1"/>
        <brk id="119" max="16383" man="1"/>
        <brk id="120" max="16383" man="1"/>
        <brk id="122" max="16383" man="1"/>
        <brk id="124" max="16383" man="1"/>
        <brk id="134" max="10" man="1"/>
        <brk id="135" max="16383" man="1"/>
        <brk id="136" max="16383" man="1"/>
        <brk id="138" max="10" man="1"/>
        <brk id="142" max="16383" man="1"/>
        <brk id="148" max="16383" man="1"/>
        <brk id="165" max="16383" man="1"/>
        <brk id="166" max="16383" man="1"/>
        <brk id="179" max="16383" man="1"/>
      </rowBreaks>
      <pageMargins left="0.27559055118110237" right="0.19685039370078741" top="0.33" bottom="0.4" header="0.15748031496062992" footer="0.19685039370078741"/>
      <pageSetup paperSize="9" scale="92" fitToHeight="13" orientation="landscape" blackAndWhite="1" horizontalDpi="4294967292" verticalDpi="4294967292" r:id="rId6"/>
      <headerFooter alignWithMargins="0">
        <oddFooter>&amp;R&amp;"Arial Narrow,обычный"&amp;8Лист &amp;P из &amp;N</oddFooter>
      </headerFooter>
    </customSheetView>
    <customSheetView guid="{7BE5A02B-F350-49A6-9913-9C71C08559EF}" showPageBreaks="1" fitToPage="1" hiddenRows="1" showRuler="0" topLeftCell="B1">
      <pane ySplit="4" topLeftCell="A165" activePane="bottomLeft" state="frozen"/>
      <selection pane="bottomLeft" activeCell="O192" sqref="O192"/>
      <rowBreaks count="114" manualBreakCount="114">
        <brk id="13" max="16383" man="1"/>
        <brk id="16" max="16383" man="1"/>
        <brk id="19" max="16383" man="1"/>
        <brk id="20" max="16383" man="1"/>
        <brk id="24" max="16383" man="1"/>
        <brk id="28" max="13" man="1"/>
        <brk id="29" max="13" man="1"/>
        <brk id="30" max="16383" man="1"/>
        <brk id="31" max="16383" man="1"/>
        <brk id="38" max="16383" man="1"/>
        <brk id="39" max="16383" man="1"/>
        <brk id="40" max="16383" man="1"/>
        <brk id="41" max="16383" man="1"/>
        <brk id="42" max="16383" man="1"/>
        <brk id="43" max="16383" man="1"/>
        <brk id="49" max="16383" man="1"/>
        <brk id="50" max="16383" man="1"/>
        <brk id="53" max="16383" man="1"/>
        <brk id="54" max="16383" man="1"/>
        <brk id="55" max="16383" man="1"/>
        <brk id="56" max="16383" man="1"/>
        <brk id="57" max="16383" man="1"/>
        <brk id="58" max="16383" man="1"/>
        <brk id="62" max="16383" man="1"/>
        <brk id="65" max="16383" man="1"/>
        <brk id="69" max="13" man="1"/>
        <brk id="70" max="16383" man="1"/>
        <brk id="71" max="16383" man="1"/>
        <brk id="72" max="16383" man="1"/>
        <brk id="73" max="16383" man="1"/>
        <brk id="74" max="16383" man="1"/>
        <brk id="75" max="16383" man="1"/>
        <brk id="78" max="16383" man="1"/>
        <brk id="83" max="16383" man="1"/>
        <brk id="84" max="16383" man="1"/>
        <brk id="85" max="16383" man="1"/>
        <brk id="86" max="16383" man="1"/>
        <brk id="87" max="16383" man="1"/>
        <brk id="90" max="16383" man="1"/>
        <brk id="92" max="16383" man="1"/>
        <brk id="93" max="16383" man="1"/>
        <brk id="94" max="16383" man="1"/>
        <brk id="96" max="16383" man="1"/>
        <brk id="100" max="16383" man="1"/>
        <brk id="101" max="16383" man="1"/>
        <brk id="102" max="16383" man="1"/>
        <brk id="104" max="13" man="1"/>
        <brk id="105" max="16383" man="1"/>
        <brk id="106" max="16383" man="1"/>
        <brk id="107" max="16383" man="1"/>
        <brk id="108" max="16383" man="1"/>
        <brk id="109" max="16383" man="1"/>
        <brk id="110" max="13" man="1"/>
        <brk id="111" max="16383" man="1"/>
        <brk id="112" max="16383" man="1"/>
        <brk id="113" max="16383" man="1"/>
        <brk id="114" max="16383" man="1"/>
        <brk id="115" max="16383" man="1"/>
        <brk id="119" max="16383" man="1"/>
        <brk id="121" max="16383" man="1"/>
        <brk id="122" max="16383" man="1"/>
        <brk id="124" max="16383" man="1"/>
        <brk id="125" max="16383" man="1"/>
        <brk id="126" max="13" man="1"/>
        <brk id="127" max="16383" man="1"/>
        <brk id="131" max="13" man="1"/>
        <brk id="133" max="16383" man="1"/>
        <brk id="136" max="16383" man="1"/>
        <brk id="137" max="16383" man="1"/>
        <brk id="139" max="16383" man="1"/>
        <brk id="140" max="16383" man="1"/>
        <brk id="145" max="16383" man="1"/>
        <brk id="146" max="16383" man="1"/>
        <brk id="148" max="16383" man="1"/>
        <brk id="149" max="16383" man="1"/>
        <brk id="153" max="16383" man="1"/>
        <brk id="154" max="16383" man="1"/>
        <brk id="161" max="16383" man="1"/>
        <brk id="162" max="16383" man="1"/>
        <brk id="163" max="16383" man="1"/>
        <brk id="165" max="16383" man="1"/>
        <brk id="166" max="16383" man="1"/>
        <brk id="170" max="16383" man="1"/>
        <brk id="174" max="16383" man="1"/>
        <brk id="175" max="16383" man="1"/>
        <brk id="181" max="16383" man="1"/>
        <brk id="182" max="16383" man="1"/>
        <brk id="183" max="16383" man="1"/>
        <brk id="184" max="16383" man="1"/>
        <brk id="187" max="13" man="1"/>
        <brk id="191" max="16383" man="1"/>
        <brk id="192" max="16383" man="1"/>
        <brk id="193" max="16383" man="1"/>
        <brk id="197" max="16383" man="1"/>
        <brk id="198" max="16383" man="1"/>
        <brk id="201" max="16383" man="1"/>
        <brk id="204" max="16383" man="1"/>
        <brk id="206" max="16383" man="1"/>
        <brk id="207" max="16383" man="1"/>
        <brk id="210" max="16383" man="1"/>
        <brk id="211" max="16383" man="1"/>
        <brk id="212" max="16383" man="1"/>
        <brk id="215" max="16383" man="1"/>
        <brk id="216" max="16383" man="1"/>
        <brk id="217" max="16383" man="1"/>
        <brk id="218" max="16383" man="1"/>
        <brk id="219" max="16383" man="1"/>
        <brk id="222" max="16383" man="1"/>
        <brk id="223" max="16383" man="1"/>
        <brk id="225" max="16383" man="1"/>
        <brk id="226" max="16383" man="1"/>
        <brk id="239" max="16383" man="1"/>
        <brk id="240" max="16383" man="1"/>
        <brk id="243" max="16383" man="1"/>
      </rowBreaks>
      <pageMargins left="0.27559055118110237" right="0.15748031496062992" top="0.31496062992125984" bottom="0.39370078740157483" header="0.15748031496062992" footer="0.19685039370078741"/>
      <pageSetup paperSize="9" scale="84" fitToHeight="13" orientation="landscape" blackAndWhite="1" horizontalDpi="4294967292" verticalDpi="4294967292" r:id="rId7"/>
      <headerFooter alignWithMargins="0">
        <oddFooter>&amp;R&amp;"Arial Narrow,обычный"&amp;8Лист &amp;P из &amp;N</oddFooter>
      </headerFooter>
    </customSheetView>
    <customSheetView guid="{14B9A1CF-2355-4181-A84E-C897271F378C}" scale="130" showPageBreaks="1" printArea="1" hiddenRows="1" view="pageBreakPreview" showRuler="0" topLeftCell="A92">
      <selection activeCell="C83" sqref="C83"/>
      <pageMargins left="0.27559055118110237" right="0.19685039370078741" top="0.31496062992125984" bottom="0.39370078740157483" header="0.15748031496062992" footer="0.19685039370078741"/>
      <pageSetup paperSize="9" scale="75" fitToHeight="11" orientation="landscape" blackAndWhite="1" horizontalDpi="4294967292" verticalDpi="4294967292" r:id="rId8"/>
      <headerFooter alignWithMargins="0">
        <oddFooter>&amp;R&amp;"Arial Narrow,обычный"&amp;8Лист &amp;P из &amp;N</oddFooter>
      </headerFooter>
    </customSheetView>
    <customSheetView guid="{CFB674C1-F40C-43C9-AC2B-719C7269531B}" showPageBreaks="1" fitToPage="1" printArea="1" hiddenRows="1" showRuler="0">
      <pane xSplit="2" ySplit="4" topLeftCell="C17" activePane="bottomRight" state="frozenSplit"/>
      <selection pane="bottomRight" activeCell="K17" sqref="K17"/>
      <rowBreaks count="98" manualBreakCount="98">
        <brk id="13" max="13" man="1"/>
        <brk id="14" max="16383" man="1"/>
        <brk id="15" max="1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5" max="1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scale="99" fitToHeight="14" orientation="landscape" blackAndWhite="1" horizontalDpi="4294967292" verticalDpi="4294967292" r:id="rId9"/>
      <headerFooter alignWithMargins="0">
        <oddFooter>&amp;R&amp;"Arial Narrow,обычный"&amp;8Лист &amp;P из &amp;N</oddFooter>
      </headerFooter>
    </customSheetView>
    <customSheetView guid="{E64E5F61-FD5E-11DA-AA5B-0004761D6C8E}" fitToPage="1" printArea="1" hiddenRows="1" showRuler="0">
      <pane xSplit="2" ySplit="4" topLeftCell="C107" activePane="bottomRight" state="frozenSplit"/>
      <selection pane="bottomRight" activeCell="D112" sqref="D112"/>
      <rowBreaks count="96" manualBreakCount="96">
        <brk id="13" max="13" man="1"/>
        <brk id="14" max="1638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fitToHeight="14" orientation="landscape" blackAndWhite="1" horizontalDpi="4294967292" verticalDpi="4294967292" r:id="rId10"/>
      <headerFooter alignWithMargins="0">
        <oddFooter>&amp;R&amp;"Arial Narrow,обычный"&amp;8Лист &amp;P из &amp;N</oddFooter>
      </headerFooter>
    </customSheetView>
    <customSheetView guid="{D8CBB260-8D05-11D7-88E1-00C0268016AF}" scale="120" showPageBreaks="1" showRuler="0">
      <pane xSplit="2" ySplit="4" topLeftCell="C5" activePane="bottomRight" state="frozenSplit"/>
      <selection pane="bottomRight" activeCell="A4" sqref="A4"/>
      <pageMargins left="0.42" right="0.17" top="0.23" bottom="0.28000000000000003" header="0.15748031496062992" footer="0.17"/>
      <pageSetup paperSize="9" orientation="landscape" blackAndWhite="1" horizontalDpi="4294967292" verticalDpi="4294967292" r:id="rId11"/>
      <headerFooter alignWithMargins="0">
        <oddFooter>&amp;R&amp;"Arial Narrow,обычный"&amp;8Лист &amp;P из &amp;N</oddFooter>
      </headerFooter>
    </customSheetView>
    <customSheetView guid="{97B5DCE1-CCA4-11D7-B6CC-0007E980B7D4}" showPageBreaks="1" fitToPage="1" printArea="1" hiddenRows="1" view="pageBreakPreview" showRuler="0">
      <pane xSplit="2" ySplit="4" topLeftCell="C162" activePane="bottomRight" state="frozenSplit"/>
      <selection pane="bottomRight" activeCell="B10" sqref="B10"/>
      <rowBreaks count="11" manualBreakCount="11">
        <brk id="12" max="13" man="1"/>
        <brk id="24" max="13" man="1"/>
        <brk id="36" max="13" man="1"/>
        <brk id="42" max="13" man="1"/>
        <brk id="56" max="13" man="1"/>
        <brk id="67" max="13" man="1"/>
        <brk id="72" max="13" man="1"/>
        <brk id="80" max="13" man="1"/>
        <brk id="105" max="13" man="1"/>
        <brk id="130" max="13" man="1"/>
        <brk id="157" max="13" man="1"/>
      </rowBreaks>
      <pageMargins left="0.27559055118110237" right="0.19685039370078741" top="0.31496062992125984" bottom="0.31496062992125984" header="0.15748031496062992" footer="0.19685039370078741"/>
      <pageSetup paperSize="9" scale="97" fitToHeight="0" orientation="landscape" horizontalDpi="4294967292" verticalDpi="4294967292" r:id="rId12"/>
      <headerFooter alignWithMargins="0">
        <oddFooter>&amp;R&amp;"Arial Narrow,обычный"&amp;8Лист &amp;P из &amp;N</oddFooter>
      </headerFooter>
    </customSheetView>
    <customSheetView guid="{14012921-CBF7-11D7-980F-000102998381}" showPageBreaks="1" showRuler="0">
      <pane xSplit="2" ySplit="4" topLeftCell="D1" activePane="bottomRight"/>
      <selection pane="bottomRight" activeCell="E13" sqref="E13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3"/>
      <headerFooter alignWithMargins="0">
        <oddFooter>&amp;R&amp;"Arial Narrow,обычный"&amp;8Лист &amp;P из &amp;N</oddFooter>
      </headerFooter>
    </customSheetView>
    <customSheetView guid="{B0C63354-C39E-4697-B077-F68D4BA3474A}" showPageBreaks="1" showRuler="0">
      <pane xSplit="2" ySplit="4" topLeftCell="I187" activePane="bottomRight" state="frozenSplit"/>
      <selection pane="bottomRight" activeCell="K197" sqref="K197"/>
      <pageMargins left="0.27" right="0.2" top="0.32" bottom="0.32" header="0.17" footer="0.19"/>
      <pageSetup paperSize="9" orientation="landscape" horizontalDpi="4294967292" verticalDpi="4294967292" r:id="rId14"/>
      <headerFooter alignWithMargins="0">
        <oddFooter>&amp;R&amp;"Arial Narrow,обычный"&amp;8Лист &amp;P из &amp;N</oddFooter>
      </headerFooter>
    </customSheetView>
    <customSheetView guid="{8F58F720-5478-11D7-8E43-00002120D636}" showPageBreaks="1" printArea="1" showRuler="0">
      <pane xSplit="2" ySplit="4" topLeftCell="C90" activePane="bottomRight" state="frozenSplit"/>
      <selection pane="bottomRight" activeCell="E96" sqref="E96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5"/>
      <headerFooter alignWithMargins="0">
        <oddFooter>&amp;R&amp;"Arial Narrow,обычный"&amp;8Лист &amp;P из &amp;N</oddFooter>
      </headerFooter>
    </customSheetView>
    <customSheetView guid="{92DADDC1-9BFC-11D7-B114-000102998381}" showRuler="0">
      <pane xSplit="2" ySplit="4" topLeftCell="D88" activePane="bottomRight" state="frozenSplit"/>
      <selection pane="bottomRight" activeCell="N98" sqref="N98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6"/>
      <headerFooter alignWithMargins="0">
        <oddFooter>&amp;R&amp;"Arial Narrow,обычный"&amp;8Лист &amp;P из &amp;N</oddFooter>
      </headerFooter>
    </customSheetView>
    <customSheetView guid="{CD228F81-555E-11D7-A5BE-0050BF58DBA5}" showPageBreaks="1" showRuler="0">
      <pane xSplit="2" ySplit="4" topLeftCell="K86" activePane="bottomRight" state="frozenSplit"/>
      <selection pane="bottomRight" activeCell="N91" sqref="N91"/>
      <pageMargins left="0.27" right="0.2" top="0.32" bottom="0.32" header="0.17" footer="0.19"/>
      <pageSetup paperSize="9" orientation="landscape" horizontalDpi="4294967292" verticalDpi="4294967292" r:id="rId17"/>
      <headerFooter alignWithMargins="0">
        <oddFooter>&amp;R&amp;"Arial Narrow,обычный"&amp;8Лист &amp;P из &amp;N</oddFooter>
      </headerFooter>
    </customSheetView>
    <customSheetView guid="{DCFE9E60-5475-11D7-802E-0050224027E0}" showPageBreaks="1" showRuler="0">
      <pane xSplit="2" ySplit="4" topLeftCell="K180" activePane="bottomRight" state="frozenSplit"/>
      <selection pane="bottomRight" activeCell="K193" sqref="K193"/>
      <pageMargins left="0.27" right="0.2" top="0.32" bottom="0.32" header="0.17" footer="0.19"/>
      <pageSetup paperSize="9" orientation="landscape" horizontalDpi="4294967292" verticalDpi="4294967292" r:id="rId18"/>
      <headerFooter alignWithMargins="0">
        <oddFooter>&amp;R&amp;"Arial Narrow,обычный"&amp;8Лист &amp;P из &amp;N</oddFooter>
      </headerFooter>
    </customSheetView>
    <customSheetView guid="{AE4F8834-9834-4486-A1C0-FEF04E11EC4A}" showRuler="0">
      <pane xSplit="2" ySplit="4" topLeftCell="C167" activePane="bottomRight" state="frozenSplit"/>
      <selection pane="bottomRight" activeCell="E184" sqref="E184"/>
      <pageMargins left="0.27" right="0.2" top="0.32" bottom="0.32" header="0.17" footer="0.19"/>
      <pageSetup paperSize="9" orientation="landscape" horizontalDpi="4294967292" verticalDpi="4294967292" r:id="rId19"/>
      <headerFooter alignWithMargins="0">
        <oddFooter>&amp;R&amp;"Arial Narrow,обычный"&amp;8Лист &amp;P из &amp;N</oddFooter>
      </headerFooter>
    </customSheetView>
    <customSheetView guid="{735893B7-5E6F-4E87-8F79-7422E435EC59}" scale="90" showPageBreaks="1" printArea="1" showRuler="0">
      <pane xSplit="2" ySplit="6" topLeftCell="C109" activePane="bottomRight" state="frozen"/>
      <selection pane="bottomRight" activeCell="B95" sqref="B95"/>
      <colBreaks count="2" manualBreakCount="2">
        <brk id="13" max="208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scale="94" orientation="landscape" horizontalDpi="4294967292" verticalDpi="4294967292" r:id="rId20"/>
      <headerFooter alignWithMargins="0">
        <oddFooter>&amp;R&amp;"Arial Narrow,обычный"&amp;8Лист &amp;P из &amp;N</oddFooter>
      </headerFooter>
    </customSheetView>
    <customSheetView guid="{88FCA060-646D-11D8-9232-00C0268CB387}" showPageBreaks="1" printArea="1" hiddenRows="1" view="pageBreakPreview" showRuler="0">
      <pane xSplit="2" ySplit="4" topLeftCell="C75" activePane="bottomRight" state="frozenSplit"/>
      <selection pane="bottomRight" activeCell="K78" sqref="K78"/>
      <rowBreaks count="16" manualBreakCount="16">
        <brk id="12" max="13" man="1"/>
        <brk id="24" max="13" man="1"/>
        <brk id="36" max="13" man="1"/>
        <brk id="42" max="13" man="1"/>
        <brk id="52" max="13" man="1"/>
        <brk id="53" max="13" man="1"/>
        <brk id="60" max="13" man="1"/>
        <brk id="61" max="13" man="1"/>
        <brk id="71" max="13" man="1"/>
        <brk id="78" max="13" man="1"/>
        <brk id="79" max="13" man="1"/>
        <brk id="80" max="16383" man="1"/>
        <brk id="105" max="13" man="1"/>
        <brk id="128" max="13" man="1"/>
        <brk id="131" max="13" man="1"/>
        <brk id="158" max="13" man="1"/>
      </rowBreaks>
      <colBreaks count="2" manualBreakCount="2">
        <brk id="13" max="177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fitToHeight="15" orientation="landscape" horizontalDpi="4294967292" verticalDpi="4294967292" r:id="rId21"/>
      <headerFooter alignWithMargins="0">
        <oddFooter>&amp;R&amp;"Arial Narrow,обычный"&amp;8Лист &amp;P из &amp;N</oddFooter>
      </headerFooter>
    </customSheetView>
    <customSheetView guid="{3EDC6120-9ECF-11DA-86FE-0007E980B6BD}" showPageBreaks="1" fitToPage="1" showRuler="0">
      <pane xSplit="2" ySplit="4" topLeftCell="C176" activePane="bottomRight" state="frozenSplit"/>
      <selection pane="bottomRight" activeCell="D185" sqref="D185"/>
      <rowBreaks count="90" manualBreakCount="90">
        <brk id="13" max="16383" man="1"/>
        <brk id="14" max="16383" man="1"/>
        <brk id="21" max="13" man="1"/>
        <brk id="26" max="16383" man="1"/>
        <brk id="27" max="16383" man="1"/>
        <brk id="28" max="16383" man="1"/>
        <brk id="29" max="13" man="1"/>
        <brk id="30" max="13" man="1"/>
        <brk id="38" max="13" man="1"/>
        <brk id="39" max="16383" man="1"/>
        <brk id="40" max="16383" man="1"/>
        <brk id="42" max="16383" man="1"/>
        <brk id="43" max="13" man="1"/>
        <brk id="44" max="16383" man="1"/>
        <brk id="45" max="13" man="1"/>
        <brk id="47" max="13" man="1"/>
        <brk id="48" max="16383" man="1"/>
        <brk id="49" max="16383" man="1"/>
        <brk id="52" max="16383" man="1"/>
        <brk id="53" max="13" man="1"/>
        <brk id="54" max="16383" man="1"/>
        <brk id="55" max="13" man="1"/>
        <brk id="56" max="16383" man="1"/>
        <brk id="59" max="16383" man="1"/>
        <brk id="63" max="13" man="1"/>
        <brk id="64" max="16383" man="1"/>
        <brk id="65" max="13" man="1"/>
        <brk id="66" max="16383" man="1"/>
        <brk id="67" max="13" man="1"/>
        <brk id="68" max="16383" man="1"/>
        <brk id="69" max="16383" man="1"/>
        <brk id="72" max="13" man="1"/>
        <brk id="74" max="13" man="1"/>
        <brk id="75" max="16383" man="1"/>
        <brk id="76" max="16383" man="1"/>
        <brk id="77" max="16383" man="1"/>
        <brk id="79" max="13" man="1"/>
        <brk id="82" max="13" man="1"/>
        <brk id="86" max="13" man="1"/>
        <brk id="87" max="13" man="1"/>
        <brk id="88" max="16383" man="1"/>
        <brk id="89" max="16383" man="1"/>
        <brk id="90" max="16383" man="1"/>
        <brk id="92" max="13" man="1"/>
        <brk id="93" max="13" man="1"/>
        <brk id="94" max="13" man="1"/>
        <brk id="95" max="16383" man="1"/>
        <brk id="96" max="13" man="1"/>
        <brk id="98" max="16383" man="1"/>
        <brk id="103" max="16383" man="1"/>
        <brk id="104" max="13" man="1"/>
        <brk id="106" max="13" man="1"/>
        <brk id="111" max="13" man="1"/>
        <brk id="112" max="16383" man="1"/>
        <brk id="114" max="16383" man="1"/>
        <brk id="118" max="16383" man="1"/>
        <brk id="119" max="16383" man="1"/>
        <brk id="121" max="13" man="1"/>
        <brk id="122" max="13" man="1"/>
        <brk id="123" max="13" man="1"/>
        <brk id="124" max="13" man="1"/>
        <brk id="125" max="13" man="1"/>
        <brk id="132" max="16383" man="1"/>
        <brk id="135" max="13" man="1"/>
        <brk id="137" max="13" man="1"/>
        <brk id="143" max="16383" man="1"/>
        <brk id="144" max="16383" man="1"/>
        <brk id="146" max="16383" man="1"/>
        <brk id="147" max="16383" man="1"/>
        <brk id="149" max="16383" man="1"/>
        <brk id="151" max="16383" man="1"/>
        <brk id="153" max="13" man="1"/>
        <brk id="155" max="13" man="1"/>
        <brk id="156" max="13" man="1"/>
        <brk id="163" max="13" man="1"/>
        <brk id="164" max="16383" man="1"/>
        <brk id="166" max="13" man="1"/>
        <brk id="172" max="13" man="1"/>
        <brk id="175" max="13" man="1"/>
        <brk id="176" max="13" man="1"/>
        <brk id="177" max="16383" man="1"/>
        <brk id="179" max="13" man="1"/>
        <brk id="180" max="13" man="1"/>
        <brk id="181" max="16383" man="1"/>
        <brk id="182" max="16383" man="1"/>
        <brk id="183" max="13" man="1"/>
        <brk id="184" max="13" man="1"/>
        <brk id="193" max="16383" man="1"/>
        <brk id="206" max="13" man="1"/>
        <brk id="223" max="16383" man="1"/>
      </rowBreaks>
      <pageMargins left="0.27559055118110237" right="0.19685039370078741" top="0.33" bottom="0.4" header="0.15748031496062992" footer="0.19685039370078741"/>
      <pageSetup paperSize="9" scale="85" fitToHeight="18" orientation="landscape" blackAndWhite="1" horizontalDpi="4294967292" verticalDpi="4294967292" r:id="rId22"/>
      <headerFooter alignWithMargins="0">
        <oddFooter>&amp;R&amp;"Arial Narrow,обычный"&amp;8Лист &amp;P из &amp;N</oddFooter>
      </headerFooter>
    </customSheetView>
    <customSheetView guid="{A91D99C2-8122-48C0-91AB-172E51C62B1D}" showPageBreaks="1" fitToPage="1" printArea="1" hiddenRows="1" showRuler="0" topLeftCell="B1">
      <pane ySplit="4" topLeftCell="A5" activePane="bottomLeft" state="frozen"/>
      <selection pane="bottomLeft" activeCell="B14" sqref="B14"/>
      <rowBreaks count="20" manualBreakCount="20">
        <brk id="14" max="13" man="1"/>
        <brk id="28" max="13" man="1"/>
        <brk id="43" max="16383" man="1"/>
        <brk id="52" max="13" man="1"/>
        <brk id="53" max="13" man="1"/>
        <brk id="63" max="16383" man="1"/>
        <brk id="76" max="16383" man="1"/>
        <brk id="92" max="13" man="1"/>
        <brk id="98" max="13" man="1"/>
        <brk id="99" max="13" man="1"/>
        <brk id="108" max="13" man="1"/>
        <brk id="114" max="13" man="1"/>
        <brk id="130" max="13" man="1"/>
        <brk id="132" max="13" man="1"/>
        <brk id="171" max="13" man="1"/>
        <brk id="173" max="13" man="1"/>
        <brk id="206" max="13" man="1"/>
        <brk id="209" max="13" man="1"/>
        <brk id="231" max="13" man="1"/>
        <brk id="239" max="16383" man="1"/>
      </rowBreaks>
      <colBreaks count="1" manualBreakCount="1">
        <brk id="14" max="1048575" man="1"/>
      </colBreaks>
      <pageMargins left="0.19685039370078741" right="0.19685039370078741" top="0.31496062992125984" bottom="0.39370078740157483" header="0.15748031496062992" footer="0.19685039370078741"/>
      <pageSetup paperSize="9" scale="95" fitToHeight="17" orientation="landscape" blackAndWhite="1" horizontalDpi="4294967292" verticalDpi="4294967292" r:id="rId23"/>
      <headerFooter alignWithMargins="0">
        <oddFooter>&amp;R&amp;"Arial Narrow,обычный"&amp;8Лист &amp;P из &amp;N</oddFooter>
      </headerFooter>
    </customSheetView>
    <customSheetView guid="{10971261-6A6B-11D7-802E-0050224027E0}" showPageBreaks="1" fitToPage="1" printArea="1" view="pageBreakPreview" showRuler="0">
      <pane xSplit="2" ySplit="4" topLeftCell="C214" activePane="bottomRight" state="frozenSplit"/>
      <selection pane="bottomRight" activeCell="C201" sqref="C201"/>
      <rowBreaks count="67" manualBreakCount="67">
        <brk id="12" max="13" man="1"/>
        <brk id="13" max="13" man="1"/>
        <brk id="14" max="13" man="1"/>
        <brk id="19" max="13" man="1"/>
        <brk id="20" max="13" man="1"/>
        <brk id="23" max="13" man="1"/>
        <brk id="25" max="13" man="1"/>
        <brk id="26" max="13" man="1"/>
        <brk id="29" max="13" man="1"/>
        <brk id="32" max="13" man="1"/>
        <brk id="34" max="13" man="1"/>
        <brk id="37" max="13" man="1"/>
        <brk id="39" max="13" man="1"/>
        <brk id="40" max="13" man="1"/>
        <brk id="42" max="13" man="1"/>
        <brk id="45" max="13" man="1"/>
        <brk id="47" max="13" man="1"/>
        <brk id="50" max="13" man="1"/>
        <brk id="51" max="13" man="1"/>
        <brk id="55" max="13" man="1"/>
        <brk id="57" max="13" man="1"/>
        <brk id="58" max="13" man="1"/>
        <brk id="60" max="13" man="1"/>
        <brk id="61" max="13" man="1"/>
        <brk id="66" max="13" man="1"/>
        <brk id="68" max="13" man="1"/>
        <brk id="69" max="13" man="1"/>
        <brk id="70" max="13" man="1"/>
        <brk id="71" max="13" man="1"/>
        <brk id="74" max="13" man="1"/>
        <brk id="75" max="13" man="1"/>
        <brk id="77" max="13" man="1"/>
        <brk id="83" max="13" man="1"/>
        <brk id="85" max="13" man="1"/>
        <brk id="91" max="13" man="1"/>
        <brk id="93" max="13" man="1"/>
        <brk id="98" max="13" man="1"/>
        <brk id="99" max="13" man="1"/>
        <brk id="100" max="13" man="1"/>
        <brk id="102" max="13" man="1"/>
        <brk id="106" max="13" man="1"/>
        <brk id="107" max="13" man="1"/>
        <brk id="110" max="13" man="1"/>
        <brk id="112" max="13" man="1"/>
        <brk id="115" max="13" man="1"/>
        <brk id="117" max="13" man="1"/>
        <brk id="119" max="13" man="1"/>
        <brk id="127" max="13" man="1"/>
        <brk id="129" max="13" man="1"/>
        <brk id="130" max="13" man="1"/>
        <brk id="140" max="13" man="1"/>
        <brk id="147" max="13" man="1"/>
        <brk id="148" max="13" man="1"/>
        <brk id="160" max="13" man="1"/>
        <brk id="161" max="13" man="1"/>
        <brk id="163" max="13" man="1"/>
        <brk id="167" max="13" man="1"/>
        <brk id="182" max="13" man="1"/>
        <brk id="190" max="13" man="1"/>
        <brk id="191" max="13" man="1"/>
        <brk id="192" max="13" man="1"/>
        <brk id="210" max="13" man="1"/>
        <brk id="215" max="13" man="1"/>
        <brk id="216" max="13" man="1"/>
        <brk id="227" max="13" man="1"/>
        <brk id="232" max="13" man="1"/>
        <brk id="233" max="13" man="1"/>
      </rowBreaks>
      <pageMargins left="0.27559055118110237" right="0.19685039370078741" top="0.33" bottom="0.4" header="0.15748031496062992" footer="0.19685039370078741"/>
      <pageSetup paperSize="9" scale="95" fitToHeight="18" orientation="landscape" blackAndWhite="1" horizontalDpi="4294967292" verticalDpi="4294967292" r:id="rId24"/>
      <headerFooter alignWithMargins="0">
        <oddFooter>&amp;R&amp;"Arial Narrow,обычный"&amp;8Лист &amp;P из &amp;N</oddFooter>
      </headerFooter>
    </customSheetView>
    <customSheetView guid="{4F278C51-CC0C-4908-B19B-FD853FE30C23}" showPageBreaks="1" fitToPage="1" printArea="1" hiddenRows="1" view="pageBreakPreview" showRuler="0">
      <pane ySplit="4" topLeftCell="A5" activePane="bottomLeft" state="frozen"/>
      <selection pane="bottomLeft" activeCell="A17" activeCellId="15" sqref="A92:IV92 A89:IV89 A85:IV86 A74:IV75 A64:IV64 A61:IV61 A54:IV56 A46:IV46 A43:IV43 A41:IV41 A37:IV37 A35:IV35 A34:IV34 A25:IV26 A23:IV23 A16:IV17"/>
      <pageMargins left="0.19685039370078741" right="0.19685039370078741" top="0.31496062992125984" bottom="0.39370078740157483" header="0.15748031496062992" footer="0.19685039370078741"/>
      <pageSetup paperSize="9" scale="94" fitToHeight="0" orientation="landscape" blackAndWhite="1" horizontalDpi="4294967292" verticalDpi="4294967292" r:id="rId25"/>
      <headerFooter alignWithMargins="0">
        <oddFooter>&amp;R&amp;"Arial Narrow,обычный"&amp;8Лист &amp;P из &amp;N</oddFooter>
      </headerFooter>
    </customSheetView>
    <customSheetView guid="{19D3A214-C4D6-4FE6-9A50-A9E846DFEC72}" fitToPage="1" printArea="1" view="pageBreakPreview" showRuler="0" topLeftCell="A43">
      <selection activeCell="C68" sqref="C68"/>
      <rowBreaks count="97" manualBreakCount="97">
        <brk id="13" max="10" man="1"/>
        <brk id="15" max="10" man="1"/>
        <brk id="17" max="16383" man="1"/>
        <brk id="22" max="10" man="1"/>
        <brk id="25" max="10" man="1"/>
        <brk id="27" max="10" man="1"/>
        <brk id="28" max="10" man="1"/>
        <brk id="29" max="10" man="1"/>
        <brk id="30" max="10" man="1"/>
        <brk id="31" max="10" man="1"/>
        <brk id="32" max="10" man="1"/>
        <brk id="34" max="10" man="1"/>
        <brk id="36" max="16383" man="1"/>
        <brk id="38" max="10" man="1"/>
        <brk id="39" max="10" man="1"/>
        <brk id="41" max="10" man="1"/>
        <brk id="43" max="10" man="1"/>
        <brk id="44" max="16383" man="1"/>
        <brk id="45" max="10" man="1"/>
        <brk id="47" max="10" man="1"/>
        <brk id="48" max="10" man="1"/>
        <brk id="49" max="10" man="1"/>
        <brk id="50" max="10" man="1"/>
        <brk id="51" max="16383" man="1"/>
        <brk id="53" max="10" man="1"/>
        <brk id="54" max="10" man="1"/>
        <brk id="55" max="10" man="1"/>
        <brk id="56" max="10" man="1"/>
        <brk id="59" max="10" man="1"/>
        <brk id="63" max="10" man="1"/>
        <brk id="64" max="10" man="1"/>
        <brk id="65" max="16383" man="1"/>
        <brk id="66" max="10" man="1"/>
        <brk id="67" max="16383" man="1"/>
        <brk id="68" max="10" man="1"/>
        <brk id="69" max="10" man="1"/>
        <brk id="70" max="10" man="1"/>
        <brk id="71" max="10" man="1"/>
        <brk id="72" max="10" man="1"/>
        <brk id="73" max="10" man="1"/>
        <brk id="74" max="10" man="1"/>
        <brk id="76" max="16383" man="1"/>
        <brk id="77" max="10" man="1"/>
        <brk id="78" max="10" man="1"/>
        <brk id="79" max="10" man="1"/>
        <brk id="81" max="16383" man="1"/>
        <brk id="82" max="10" man="1"/>
        <brk id="83" max="10" man="1"/>
        <brk id="84" max="10" man="1"/>
        <brk id="85" max="10" man="1"/>
        <brk id="87" max="10" man="1"/>
        <brk id="88" max="10" man="1"/>
        <brk id="90" max="10" man="1"/>
        <brk id="91" max="16383" man="1"/>
        <brk id="92" max="10" man="1"/>
        <brk id="94" max="10" man="1"/>
        <brk id="95" max="10" man="1"/>
        <brk id="96" max="10" man="1"/>
        <brk id="97" max="16383" man="1"/>
        <brk id="99" max="10" man="1"/>
        <brk id="100" max="10" man="1"/>
        <brk id="101" max="10" man="1"/>
        <brk id="103" max="10" man="1"/>
        <brk id="104" max="16383" man="1"/>
        <brk id="105" max="16383" man="1"/>
        <brk id="107" max="10" man="1"/>
        <brk id="108" max="13" man="1"/>
        <brk id="109" max="16383" man="1"/>
        <brk id="110" max="13" man="1"/>
        <brk id="112" max="13" man="1"/>
        <brk id="115" max="13" man="1"/>
        <brk id="116" max="13" man="1"/>
        <brk id="118" max="13" man="1"/>
        <brk id="119" max="13" man="1"/>
        <brk id="126" max="13" man="1"/>
        <brk id="132" max="13" man="1"/>
        <brk id="133" max="13" man="1"/>
        <brk id="134" max="13" man="1"/>
        <brk id="137" max="13" man="1"/>
        <brk id="138" max="16383" man="1"/>
        <brk id="141" max="13" man="1"/>
        <brk id="143" max="16383" man="1"/>
        <brk id="145" max="16383" man="1"/>
        <brk id="146" max="13" man="1"/>
        <brk id="147" max="13" man="1"/>
        <brk id="148" max="13" man="1"/>
        <brk id="154" max="13" man="1"/>
        <brk id="156" max="13" man="1"/>
        <brk id="161" max="13" man="1"/>
        <brk id="163" max="13" man="1"/>
        <brk id="166" max="13" man="1"/>
        <brk id="168" max="13" man="1"/>
        <brk id="176" max="13" man="1"/>
        <brk id="177" max="16383" man="1"/>
        <brk id="185" max="13" man="1"/>
        <brk id="189" max="13" man="1"/>
        <brk id="197" max="13" man="1"/>
      </rowBreaks>
      <pageMargins left="0.27559055118110237" right="0.19685039370078741" top="0.33" bottom="0.4" header="0.15748031496062992" footer="0.19685039370078741"/>
      <pageSetup paperSize="9" fitToHeight="14" orientation="landscape" blackAndWhite="1" horizontalDpi="4294967292" verticalDpi="4294967292" r:id="rId26"/>
      <headerFooter alignWithMargins="0">
        <oddFooter>&amp;R&amp;"Arial Narrow,обычный"&amp;8Лист &amp;P из &amp;N</oddFooter>
      </headerFooter>
    </customSheetView>
    <customSheetView guid="{A3331C67-8A36-4D51-83F9-2D71D6F5E7BA}" fitToPage="1" showRuler="0" topLeftCell="A67">
      <selection activeCell="E107" sqref="E107"/>
      <rowBreaks count="42" manualBreakCount="42">
        <brk id="13" max="13" man="1"/>
        <brk id="15" max="16383" man="1"/>
        <brk id="19" max="13" man="1"/>
        <brk id="22" max="13" man="1"/>
        <brk id="24" max="13" man="1"/>
        <brk id="25" max="13" man="1"/>
        <brk id="26" max="16383" man="1"/>
        <brk id="28" max="13" man="1"/>
        <brk id="29" max="13" man="1"/>
        <brk id="30" max="13" man="1"/>
        <brk id="31" max="13" man="1"/>
        <brk id="32" max="16383" man="1"/>
        <brk id="34" max="13" man="1"/>
        <brk id="35" max="13" man="1"/>
        <brk id="36" max="16383" man="1"/>
        <brk id="39" max="16383" man="1"/>
        <brk id="40" max="13" man="1"/>
        <brk id="41" max="13" man="1"/>
        <brk id="42" max="13" man="1"/>
        <brk id="44" max="13" man="1"/>
        <brk id="45" max="13" man="1"/>
        <brk id="46" max="13" man="1"/>
        <brk id="47" max="13" man="1"/>
        <brk id="50" max="13" man="1"/>
        <brk id="51" max="16383" man="1"/>
        <brk id="54" max="13" man="1"/>
        <brk id="69" max="16383" man="1"/>
        <brk id="71" max="16383" man="1"/>
        <brk id="72" max="13" man="1"/>
        <brk id="73" max="13" man="1"/>
        <brk id="74" max="13" man="1"/>
        <brk id="76" max="13" man="1"/>
        <brk id="81" max="13" man="1"/>
        <brk id="83" max="13" man="1"/>
        <brk id="90" max="16383" man="1"/>
        <brk id="91" max="13" man="1"/>
        <brk id="93" max="13" man="1"/>
        <brk id="94" max="13" man="1"/>
        <brk id="97" max="13" man="1"/>
        <brk id="102" max="13" man="1"/>
        <brk id="106" max="13" man="1"/>
        <brk id="114" max="13" man="1"/>
      </rowBreaks>
      <pageMargins left="0.27559055118110237" right="0.19685039370078741" top="0.33" bottom="0.4" header="0.15748031496062992" footer="0.19685039370078741"/>
      <pageSetup paperSize="9" scale="92" fitToHeight="14" orientation="landscape" blackAndWhite="1" horizontalDpi="4294967292" verticalDpi="4294967292" r:id="rId27"/>
      <headerFooter alignWithMargins="0">
        <oddFooter>&amp;R&amp;"Arial Narrow,обычный"&amp;8Лист &amp;P из &amp;N</oddFooter>
      </headerFooter>
    </customSheetView>
    <customSheetView guid="{DD5C3F45-D2CB-45EC-9051-F348430664E8}" scale="110" fitToPage="1" printArea="1" hiddenRows="1" hiddenColumns="1" showRuler="0">
      <pane ySplit="5" topLeftCell="A138" activePane="bottomLeft" state="frozenSplit"/>
      <selection pane="bottomLeft" activeCell="F153" sqref="F153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7" max="12" man="1"/>
        <brk id="78" max="12" man="1"/>
        <brk id="79" max="12" man="1"/>
        <brk id="82" max="12" man="1"/>
        <brk id="94" max="16383" man="1"/>
        <brk id="102" max="12" man="1"/>
        <brk id="103" max="16383" man="1"/>
        <brk id="106" max="12" man="1"/>
        <brk id="112" max="12" man="1"/>
        <brk id="113" max="12" man="1"/>
        <brk id="167" max="12" man="1"/>
        <brk id="175" max="12" man="1"/>
        <brk id="176" max="12" man="1"/>
        <brk id="177" max="16383" man="1"/>
        <brk id="179" max="12" man="1"/>
        <brk id="180" max="12" man="1"/>
        <brk id="183" max="16383" man="1"/>
        <brk id="184" max="16383" man="1"/>
        <brk id="187" max="13" man="1"/>
        <brk id="188" max="16383" man="1"/>
        <brk id="189" max="13" man="1"/>
        <brk id="191" max="13" man="1"/>
        <brk id="194" max="13" man="1"/>
        <brk id="195" max="13" man="1"/>
        <brk id="197" max="13" man="1"/>
        <brk id="198" max="13" man="1"/>
        <brk id="205" max="13" man="1"/>
        <brk id="211" max="13" man="1"/>
        <brk id="212" max="13" man="1"/>
        <brk id="213" max="13" man="1"/>
        <brk id="216" max="13" man="1"/>
        <brk id="217" max="16383" man="1"/>
        <brk id="220" max="13" man="1"/>
        <brk id="222" max="16383" man="1"/>
        <brk id="224" max="16383" man="1"/>
        <brk id="225" max="13" man="1"/>
        <brk id="226" max="13" man="1"/>
        <brk id="227" max="13" man="1"/>
        <brk id="233" max="13" man="1"/>
        <brk id="235" max="13" man="1"/>
        <brk id="240" max="13" man="1"/>
        <brk id="242" max="13" man="1"/>
        <brk id="245" max="13" man="1"/>
        <brk id="247" max="13" man="1"/>
        <brk id="255" max="13" man="1"/>
        <brk id="256" max="16383" man="1"/>
        <brk id="264" max="13" man="1"/>
        <brk id="268" max="13" man="1"/>
        <brk id="276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14" orientation="landscape" blackAndWhite="1" horizontalDpi="4294967292" verticalDpi="4294967292" r:id="rId28"/>
      <headerFooter alignWithMargins="0">
        <oddFooter>&amp;R&amp;"Arial Narrow,обычный"&amp;8Лист &amp;P из &amp;N</oddFooter>
      </headerFooter>
    </customSheetView>
    <customSheetView guid="{91C1DC54-C312-471D-9246-B789B002B742}" fitToPage="1" printArea="1" hiddenRows="1" showRuler="0">
      <pane ySplit="5" topLeftCell="A135" activePane="bottomLeft" state="frozenSplit"/>
      <selection pane="bottomLeft" activeCell="F148" sqref="F148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2" max="12" man="1"/>
        <brk id="53" max="12" man="1"/>
        <brk id="57" max="12" man="1"/>
        <brk id="73" max="12" man="1"/>
        <brk id="75" max="12" man="1"/>
        <brk id="76" max="12" man="1"/>
        <brk id="79" max="12" man="1"/>
        <brk id="89" max="16383" man="1"/>
        <brk id="95" max="12" man="1"/>
        <brk id="96" max="16383" man="1"/>
        <brk id="99" max="12" man="1"/>
        <brk id="105" max="12" man="1"/>
        <brk id="106" max="12" man="1"/>
        <brk id="166" max="12" man="1"/>
        <brk id="174" max="12" man="1"/>
        <brk id="175" max="12" man="1"/>
        <brk id="176" max="16383" man="1"/>
        <brk id="178" max="12" man="1"/>
        <brk id="179" max="12" man="1"/>
        <brk id="182" max="16383" man="1"/>
        <brk id="183" max="16383" man="1"/>
        <brk id="186" max="13" man="1"/>
        <brk id="187" max="16383" man="1"/>
        <brk id="188" max="13" man="1"/>
        <brk id="190" max="13" man="1"/>
        <brk id="193" max="13" man="1"/>
        <brk id="194" max="13" man="1"/>
        <brk id="196" max="13" man="1"/>
        <brk id="197" max="13" man="1"/>
        <brk id="204" max="13" man="1"/>
        <brk id="210" max="13" man="1"/>
        <brk id="211" max="13" man="1"/>
        <brk id="212" max="13" man="1"/>
        <brk id="215" max="13" man="1"/>
        <brk id="216" max="16383" man="1"/>
        <brk id="219" max="13" man="1"/>
        <brk id="221" max="16383" man="1"/>
        <brk id="223" max="16383" man="1"/>
        <brk id="224" max="13" man="1"/>
        <brk id="225" max="13" man="1"/>
        <brk id="226" max="13" man="1"/>
        <brk id="232" max="13" man="1"/>
        <brk id="234" max="13" man="1"/>
        <brk id="239" max="13" man="1"/>
        <brk id="241" max="13" man="1"/>
        <brk id="244" max="13" man="1"/>
        <brk id="246" max="13" man="1"/>
        <brk id="254" max="13" man="1"/>
        <brk id="255" max="16383" man="1"/>
        <brk id="263" max="13" man="1"/>
        <brk id="267" max="13" man="1"/>
        <brk id="275" max="13" man="1"/>
      </rowBreaks>
      <pageMargins left="0.27559055118110237" right="0.19685039370078741" top="0.31496062992125984" bottom="0.39370078740157483" header="0.15748031496062992" footer="0.19685039370078741"/>
      <pageSetup paperSize="9" scale="88" fitToHeight="14" orientation="landscape" blackAndWhite="1" horizontalDpi="4294967292" verticalDpi="4294967292" r:id="rId29"/>
      <headerFooter alignWithMargins="0">
        <oddFooter>&amp;R&amp;"Arial Narrow,обычный"&amp;8Лист &amp;P из &amp;N</oddFooter>
      </headerFooter>
    </customSheetView>
    <customSheetView guid="{C76330A2-057D-4E27-B720-532A3C304D14}" scale="110" fitToPage="1" printArea="1" hiddenRows="1" showRuler="0">
      <pane ySplit="5" topLeftCell="A38" activePane="bottomLeft" state="frozenSplit"/>
      <selection pane="bottomLeft" activeCell="A42" sqref="A42:B42"/>
      <rowBreaks count="66" manualBreakCount="66">
        <brk id="13" max="16383" man="1"/>
        <brk id="18" max="12" man="1"/>
        <brk id="21" max="12" man="1"/>
        <brk id="23" max="12" man="1"/>
        <brk id="29" max="12" man="1"/>
        <brk id="35" max="16383" man="1"/>
        <brk id="46" max="12" man="1"/>
        <brk id="47" max="12" man="1"/>
        <brk id="48" max="12" man="1"/>
        <brk id="49" max="12" man="1"/>
        <brk id="50" max="16383" man="1"/>
        <brk id="51" max="12" man="1"/>
        <brk id="52" max="12" man="1"/>
        <brk id="54" max="12" man="1"/>
        <brk id="55" max="12" man="1"/>
        <brk id="56" max="12" man="1"/>
        <brk id="60" max="12" man="1"/>
        <brk id="76" max="12" man="1"/>
        <brk id="77" max="12" man="1"/>
        <brk id="78" max="12" man="1"/>
        <brk id="81" max="12" man="1"/>
        <brk id="90" max="16383" man="1"/>
        <brk id="98" max="12" man="1"/>
        <brk id="99" max="16383" man="1"/>
        <brk id="102" max="12" man="1"/>
        <brk id="108" max="12" man="1"/>
        <brk id="109" max="12" man="1"/>
        <brk id="169" max="12" man="1"/>
        <brk id="177" max="12" man="1"/>
        <brk id="178" max="12" man="1"/>
        <brk id="179" max="16383" man="1"/>
        <brk id="181" max="12" man="1"/>
        <brk id="182" max="12" man="1"/>
        <brk id="185" max="16383" man="1"/>
        <brk id="186" max="16383" man="1"/>
        <brk id="189" max="13" man="1"/>
        <brk id="190" max="16383" man="1"/>
        <brk id="191" max="13" man="1"/>
        <brk id="193" max="13" man="1"/>
        <brk id="196" max="13" man="1"/>
        <brk id="197" max="13" man="1"/>
        <brk id="199" max="13" man="1"/>
        <brk id="200" max="13" man="1"/>
        <brk id="207" max="13" man="1"/>
        <brk id="213" max="13" man="1"/>
        <brk id="214" max="13" man="1"/>
        <brk id="215" max="13" man="1"/>
        <brk id="218" max="13" man="1"/>
        <brk id="219" max="16383" man="1"/>
        <brk id="222" max="13" man="1"/>
        <brk id="224" max="16383" man="1"/>
        <brk id="226" max="16383" man="1"/>
        <brk id="227" max="13" man="1"/>
        <brk id="228" max="13" man="1"/>
        <brk id="229" max="13" man="1"/>
        <brk id="235" max="13" man="1"/>
        <brk id="237" max="13" man="1"/>
        <brk id="242" max="13" man="1"/>
        <brk id="244" max="13" man="1"/>
        <brk id="247" max="13" man="1"/>
        <brk id="249" max="13" man="1"/>
        <brk id="257" max="13" man="1"/>
        <brk id="258" max="16383" man="1"/>
        <brk id="266" max="13" man="1"/>
        <brk id="270" max="13" man="1"/>
        <brk id="278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30"/>
      <headerFooter alignWithMargins="0">
        <oddFooter>&amp;R&amp;"Arial Narrow,обычный"&amp;8Лист &amp;P из &amp;N</oddFooter>
      </headerFooter>
    </customSheetView>
    <customSheetView guid="{22CDF957-2E06-4FE0-AA9C-8AF24FC17F35}" fitToPage="1" printArea="1" hiddenRows="1" hiddenColumns="1" showRuler="0">
      <pane ySplit="5" topLeftCell="A211" activePane="bottomLeft" state="frozenSplit"/>
      <selection pane="bottomLeft" activeCell="L222" sqref="L222"/>
      <pageMargins left="0.23622047244094491" right="0.23622047244094491" top="0.35433070866141736" bottom="0.35433070866141736" header="0.31496062992125984" footer="0.31496062992125984"/>
      <pageSetup paperSize="9" scale="60" fitToHeight="0" orientation="portrait" blackAndWhite="1" horizontalDpi="4294967292" verticalDpi="4294967292" r:id="rId31"/>
      <headerFooter alignWithMargins="0">
        <oddFooter>&amp;R&amp;"Arial Narrow,обычный"&amp;8Лист &amp;P из &amp;N</oddFooter>
      </headerFooter>
    </customSheetView>
  </customSheetViews>
  <mergeCells count="14">
    <mergeCell ref="I241:I242"/>
    <mergeCell ref="L241:L242"/>
    <mergeCell ref="M241:M242"/>
    <mergeCell ref="I1:N1"/>
    <mergeCell ref="N241:N242"/>
    <mergeCell ref="A2:M2"/>
    <mergeCell ref="C241:C242"/>
    <mergeCell ref="D241:D242"/>
    <mergeCell ref="H241:H242"/>
    <mergeCell ref="E241:E242"/>
    <mergeCell ref="J241:J242"/>
    <mergeCell ref="G241:G242"/>
    <mergeCell ref="F241:F242"/>
    <mergeCell ref="K241:K242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59" fitToHeight="0" orientation="portrait" blackAndWhite="1" horizontalDpi="4294967292" verticalDpi="4294967292" r:id="rId32"/>
  <headerFooter alignWithMargins="0">
    <oddFooter>&amp;R&amp;"Arial Narrow,обычный"&amp;8Лист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Анализ бюджета</vt:lpstr>
      <vt:lpstr>Всего_доходов_2003</vt:lpstr>
      <vt:lpstr>Всего_расходов_2003</vt:lpstr>
      <vt:lpstr>'Анализ бюджета'!Заголовки_для_печати</vt:lpstr>
      <vt:lpstr>'Анализ бюджета'!Область_печати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Бюджетный отдел</dc:creator>
  <cp:lastModifiedBy>ГайдуковаЛВ</cp:lastModifiedBy>
  <cp:lastPrinted>2021-10-12T07:05:20Z</cp:lastPrinted>
  <dcterms:created xsi:type="dcterms:W3CDTF">1998-04-06T06:06:47Z</dcterms:created>
  <dcterms:modified xsi:type="dcterms:W3CDTF">2021-10-12T07:05:28Z</dcterms:modified>
</cp:coreProperties>
</file>