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55" yWindow="60" windowWidth="12120" windowHeight="9120"/>
  </bookViews>
  <sheets>
    <sheet name="Анализ бюджета" sheetId="1" r:id="rId1"/>
  </sheets>
  <definedNames>
    <definedName name="Z_08EF82CC_B73D_4976_854E_2FADDE1EDAB4_.wvu.PrintArea" localSheetId="0" hidden="1">'Анализ бюджета'!$A$1:$N$243</definedName>
    <definedName name="Z_08EF82CC_B73D_4976_854E_2FADDE1EDAB4_.wvu.PrintTitles" localSheetId="0" hidden="1">'Анализ бюджета'!$4:$5</definedName>
    <definedName name="Z_0BD4437E_22A9_4FBD_A5E2_5BE85718F571_.wvu.PrintArea" localSheetId="0" hidden="1">'Анализ бюджета'!$A$1:$N$243</definedName>
    <definedName name="Z_0BD4437E_22A9_4FBD_A5E2_5BE85718F571_.wvu.PrintTitles" localSheetId="0" hidden="1">'Анализ бюджета'!$4:$5</definedName>
    <definedName name="Z_10971261_6A6B_11D7_802E_0050224027E0_.wvu.PrintArea" localSheetId="0" hidden="1">'Анализ бюджета'!$A$1:$M$242</definedName>
    <definedName name="Z_10971261_6A6B_11D7_802E_0050224027E0_.wvu.PrintTitles" localSheetId="0" hidden="1">'Анализ бюджета'!$4:$4</definedName>
    <definedName name="Z_14012921_CBF7_11D7_980F_000102998381_.wvu.PrintTitles" localSheetId="0" hidden="1">'Анализ бюджета'!$4:$4</definedName>
    <definedName name="Z_19D3A214_C4D6_4FE6_9A50_A9E846DFEC72_.wvu.PrintArea" localSheetId="0" hidden="1">'Анализ бюджета'!$A$1:$M$243</definedName>
    <definedName name="Z_4F278C51_CC0C_4908_B19B_FD853FE30C23_.wvu.PrintArea" localSheetId="0" hidden="1">'Анализ бюджета'!$A$1:$M$242</definedName>
    <definedName name="Z_4F278C51_CC0C_4908_B19B_FD853FE30C23_.wvu.PrintTitles" localSheetId="0" hidden="1">'Анализ бюджета'!$4:$4</definedName>
    <definedName name="Z_4F278C51_CC0C_4908_B19B_FD853FE30C23_.wvu.Rows" localSheetId="0" hidden="1">'Анализ бюджета'!#REF!,'Анализ бюджета'!$17:$17,'Анализ бюджета'!$19:$20,'Анализ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6B5A71DB_8104_43F2_BE21_9362D50D2638_.wvu.PrintArea" localSheetId="0" hidden="1">'Анализ бюджета'!$A$1:$N$243</definedName>
    <definedName name="Z_6B5A71DB_8104_43F2_BE21_9362D50D2638_.wvu.PrintTitles" localSheetId="0" hidden="1">'Анализ бюджета'!$4:$5</definedName>
    <definedName name="Z_6B5A71DB_8104_43F2_BE21_9362D50D2638_.wvu.Rows" localSheetId="0" hidden="1">'Анализ бюджета'!$43:$44,'Анализ бюджета'!#REF!,'Анализ бюджета'!$187:$187</definedName>
    <definedName name="Z_735893B7_5E6F_4E87_8F79_7422E435EC59_.wvu.PrintArea" localSheetId="0" hidden="1">'Анализ бюджета'!$A$1:$M$245</definedName>
    <definedName name="Z_7BE5A02B_F350_49A6_9913_9C71C08559EF_.wvu.Rows" localSheetId="0" hidden="1">'Анализ бюджета'!#REF!</definedName>
    <definedName name="Z_88FCA060_646D_11D8_9232_00C0268CB387_.wvu.Rows" localSheetId="0" hidden="1">'Анализ бюджета'!$33:$40</definedName>
    <definedName name="Z_8F58F720_5478_11D7_8E43_00002120D636_.wvu.PrintArea" localSheetId="0" hidden="1">'Анализ бюджета'!$A$2:$M$67</definedName>
    <definedName name="Z_8F58F720_5478_11D7_8E43_00002120D636_.wvu.PrintTitles" localSheetId="0" hidden="1">'Анализ бюджета'!$4:$4</definedName>
    <definedName name="Z_91C1DC54_C312_471D_9246_B789B002B742_.wvu.PrintArea" localSheetId="0" hidden="1">'Анализ бюджета'!$A$1:$N$243</definedName>
    <definedName name="Z_91C1DC54_C312_471D_9246_B789B002B742_.wvu.PrintTitles" localSheetId="0" hidden="1">'Анализ бюджета'!$4:$5</definedName>
    <definedName name="Z_91C1DC54_C312_471D_9246_B789B002B742_.wvu.Rows" localSheetId="0" hidden="1">'Анализ бюджета'!$43:$44,'Анализ бюджета'!#REF!,'Анализ бюджета'!#REF!,'Анализ бюджета'!$187:$187</definedName>
    <definedName name="Z_92DADDC1_9BFC_11D7_B114_000102998381_.wvu.PrintTitles" localSheetId="0" hidden="1">'Анализ бюджета'!$4:$4</definedName>
    <definedName name="Z_97B5DCE1_CCA4_11D7_B6CC_0007E980B7D4_.wvu.PrintArea" localSheetId="0" hidden="1">'Анализ бюджета'!$A$1:$M$245</definedName>
    <definedName name="Z_97B5DCE1_CCA4_11D7_B6CC_0007E980B7D4_.wvu.Rows" localSheetId="0" hidden="1">'Анализ бюджета'!#REF!,'Анализ бюджета'!$33:$40</definedName>
    <definedName name="Z_A91D99C2_8122_48C0_91AB_172E51C62B1D_.wvu.PrintArea" localSheetId="0" hidden="1">'Анализ бюджета'!$A$1:$M$242</definedName>
    <definedName name="Z_A91D99C2_8122_48C0_91AB_172E51C62B1D_.wvu.Rows" localSheetId="0" hidden="1">'Анализ бюджета'!#REF!</definedName>
    <definedName name="Z_AE4F8834_9834_4486_A1C0_FEF04E11EC4A_.wvu.PrintTitles" localSheetId="0" hidden="1">'Анализ бюджета'!$4:$4</definedName>
    <definedName name="Z_B0C63354_C39E_4697_B077_F68D4BA3474A_.wvu.PrintTitles" localSheetId="0" hidden="1">'Анализ бюджета'!$4:$4</definedName>
    <definedName name="Z_C76330A2_057D_4E27_B720_532A3C304D14_.wvu.PrintArea" localSheetId="0" hidden="1">'Анализ бюджета'!$A$1:$N$243</definedName>
    <definedName name="Z_C76330A2_057D_4E27_B720_532A3C304D14_.wvu.PrintTitles" localSheetId="0" hidden="1">'Анализ бюджета'!$4:$5</definedName>
    <definedName name="Z_C76330A2_057D_4E27_B720_532A3C304D14_.wvu.Rows" localSheetId="0" hidden="1">'Анализ бюджета'!$187:$187</definedName>
    <definedName name="Z_CD228F81_555E_11D7_A5BE_0050BF58DBA5_.wvu.PrintTitles" localSheetId="0" hidden="1">'Анализ бюджета'!$4:$4</definedName>
    <definedName name="Z_CFB674C1_F40C_43C9_AC2B_719C7269531B_.wvu.PrintArea" localSheetId="0" hidden="1">'Анализ бюджета'!$A$1:$M$242</definedName>
    <definedName name="Z_CFB674C1_F40C_43C9_AC2B_719C7269531B_.wvu.PrintTitles" localSheetId="0" hidden="1">'Анализ бюджета'!$4:$4</definedName>
    <definedName name="Z_CFB674C1_F40C_43C9_AC2B_719C7269531B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D8CBB260_8D05_11D7_88E1_00C0268016AF_.wvu.PrintTitles" localSheetId="0" hidden="1">'Анализ бюджета'!$4:$4</definedName>
    <definedName name="Z_DCFE9E60_5475_11D7_802E_0050224027E0_.wvu.PrintTitles" localSheetId="0" hidden="1">'Анализ бюджета'!$4:$4</definedName>
    <definedName name="Z_DD5C3F45_D2CB_45EC_9051_F348430664E8_.wvu.Cols" localSheetId="0" hidden="1">'Анализ бюджета'!#REF!</definedName>
    <definedName name="Z_DD5C3F45_D2CB_45EC_9051_F348430664E8_.wvu.PrintArea" localSheetId="0" hidden="1">'Анализ бюджета'!$A$1:$N$243</definedName>
    <definedName name="Z_DD5C3F45_D2CB_45EC_9051_F348430664E8_.wvu.PrintTitles" localSheetId="0" hidden="1">'Анализ бюджета'!$4:$5</definedName>
    <definedName name="Z_DD5C3F45_D2CB_45EC_9051_F348430664E8_.wvu.Rows" localSheetId="0" hidden="1">'Анализ бюджета'!$43:$44,'Анализ бюджета'!#REF!,'Анализ бюджета'!$187:$187</definedName>
    <definedName name="Z_E64E5F61_FD5E_11DA_AA5B_0004761D6C8E_.wvu.PrintArea" localSheetId="0" hidden="1">'Анализ бюджета'!$A$1:$M$242</definedName>
    <definedName name="Z_E64E5F61_FD5E_11DA_AA5B_0004761D6C8E_.wvu.PrintTitles" localSheetId="0" hidden="1">'Анализ бюджета'!$4:$4</definedName>
    <definedName name="Z_E64E5F61_FD5E_11DA_AA5B_0004761D6C8E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Всего_доходов_2002">'Анализ бюджета'!#REF!</definedName>
    <definedName name="Всего_доходов_2003">'Анализ бюджета'!$H$66</definedName>
    <definedName name="Всего_расходов_2002">'Анализ бюджета'!#REF!</definedName>
    <definedName name="Всего_расходов_2003">'Анализ бюджета'!$H$167</definedName>
    <definedName name="_xlnm.Print_Titles" localSheetId="0">'Анализ бюджета'!$4:$5</definedName>
    <definedName name="_xlnm.Print_Area" localSheetId="0">'Анализ бюджета'!$A$1:$N$238</definedName>
  </definedNames>
  <calcPr calcId="145621" fullPrecision="0"/>
  <customWorkbookViews>
    <customWorkbookView name="Прокопенко - Личное представление" guid="{0BD4437E-22A9-4FBD-A5E2-5BE85718F571}" mergeInterval="0" personalView="1" maximized="1" xWindow="1" yWindow="1" windowWidth="1276" windowHeight="803" activeSheetId="1"/>
    <customWorkbookView name="odegovann - Личное представление" guid="{08EF82CC-B73D-4976-854E-2FADDE1EDAB4}" mergeInterval="0" personalView="1" maximized="1" xWindow="1" yWindow="1" windowWidth="1276" windowHeight="803" activeSheetId="1"/>
    <customWorkbookView name="Степанченко Ю.В. - Личное представление" guid="{6B5A71DB-8104-43F2-BE21-9362D50D2638}" mergeInterval="0" personalView="1" maximized="1" xWindow="1" yWindow="1" windowWidth="1276" windowHeight="803" activeSheetId="1"/>
    <customWorkbookView name="Лаврушин Д.Б. - Личное представление" guid="{D467516B-79C5-4C0A-A5E2-1E73FB77BFFC}" mergeInterval="0" personalView="1" maximized="1" windowWidth="1148" windowHeight="673" activeSheetId="1"/>
    <customWorkbookView name="Budg2 - Личное представление" guid="{7BE5A02B-F350-49A6-9913-9C71C08559EF}" mergeInterval="0" personalView="1" maximized="1" windowWidth="1009" windowHeight="588" activeSheetId="1"/>
    <customWorkbookView name="Сергей Медведев - Личное представление" guid="{14B9A1CF-2355-4181-A84E-C897271F378C}" mergeInterval="0" personalView="1" maximized="1" windowWidth="1148" windowHeight="692" tabRatio="184" activeSheetId="1"/>
    <customWorkbookView name="Якушина Л.А. - Личное представление" guid="{CFB674C1-F40C-43C9-AC2B-719C7269531B}" mergeInterval="0" personalView="1" maximized="1" windowWidth="1276" windowHeight="852" activeSheetId="1"/>
    <customWorkbookView name="МФ - Личное представление" guid="{E64E5F61-FD5E-11DA-AA5B-0004761D6C8E}" mergeInterval="0" personalView="1" maximized="1" windowWidth="796" windowHeight="438" activeSheetId="1"/>
    <customWorkbookView name="Лаврушин Дмитрий Борисович - Личное представление" guid="{D8CBB260-8D05-11D7-88E1-00C0268016AF}" mergeInterval="0" personalView="1" maximized="1" windowWidth="1020" windowHeight="606" activeSheetId="1" showComments="commNone"/>
    <customWorkbookView name="* - Личное представление" guid="{97B5DCE1-CCA4-11D7-B6CC-0007E980B7D4}" mergeInterval="0" personalView="1" maximized="1" windowWidth="1020" windowHeight="606" activeSheetId="1" showComments="commIndAndComment"/>
    <customWorkbookView name="Лариса - Личное представление" guid="{14012921-CBF7-11D7-980F-000102998381}" mergeInterval="0" personalView="1" maximized="1" windowWidth="1020" windowHeight="632" activeSheetId="1"/>
    <customWorkbookView name="_ - Личное представление" guid="{B0C63354-C39E-4697-B077-F68D4BA3474A}" mergeInterval="0" personalView="1" maximized="1" windowWidth="796" windowHeight="438" activeSheetId="1" showComments="commIndAndComment"/>
    <customWorkbookView name="Elena - Личное представление" guid="{8F58F720-5478-11D7-8E43-00002120D636}" mergeInterval="0" personalView="1" maximized="1" windowWidth="796" windowHeight="438" activeSheetId="1"/>
    <customWorkbookView name="oit - Личное представление" guid="{92DADDC1-9BFC-11D7-B114-000102998381}" mergeInterval="0" personalView="1" maximized="1" windowWidth="1020" windowHeight="579" activeSheetId="1"/>
    <customWorkbookView name="Tatyana - Личное представление" guid="{CD228F81-555E-11D7-A5BE-0050BF58DBA5}" mergeInterval="0" personalView="1" maximized="1" windowWidth="796" windowHeight="438" activeSheetId="1"/>
    <customWorkbookView name="Хламова - Личное представление" guid="{DCFE9E60-5475-11D7-802E-0050224027E0}" mergeInterval="0" personalView="1" maximized="1" windowWidth="796" windowHeight="456" activeSheetId="1" showStatusbar="0"/>
    <customWorkbookView name="Athlon - Личное представление" guid="{AE4F8834-9834-4486-A1C0-FEF04E11EC4A}" mergeInterval="0" personalView="1" maximized="1" windowWidth="1020" windowHeight="587" activeSheetId="1"/>
    <customWorkbookView name="serg - Личное представление" guid="{735893B7-5E6F-4E87-8F79-7422E435EC59}" mergeInterval="0" personalView="1" maximized="1" windowWidth="636" windowHeight="341" activeSheetId="1"/>
    <customWorkbookView name="MF - Личное представление" guid="{88FCA060-646D-11D8-9232-00C0268CB387}" mergeInterval="0" personalView="1" maximized="1" windowWidth="1020" windowHeight="606" activeSheetId="1"/>
    <customWorkbookView name="Budg_2 - Личное представление" guid="{3EDC6120-9ECF-11DA-86FE-0007E980B6BD}" mergeInterval="0" personalView="1" maximized="1" windowWidth="1020" windowHeight="606" activeSheetId="1"/>
    <customWorkbookView name="Трушина О.А. - Личное представление" guid="{A91D99C2-8122-48C0-91AB-172E51C62B1D}" mergeInterval="0" personalView="1" maximized="1" windowWidth="1276" windowHeight="884" tabRatio="126" activeSheetId="1"/>
    <customWorkbookView name="user - Личное представление" guid="{10971261-6A6B-11D7-802E-0050224027E0}" mergeInterval="0" personalView="1" maximized="1" xWindow="-9" yWindow="53" windowWidth="570" windowHeight="651" activeSheetId="1" showStatusbar="0"/>
    <customWorkbookView name="Сергей - Личное представление" guid="{4F278C51-CC0C-4908-B19B-FD853FE30C23}" mergeInterval="0" personalView="1" maximized="1" xWindow="1" yWindow="1" windowWidth="1280" windowHeight="806" tabRatio="205" activeSheetId="1"/>
    <customWorkbookView name="наташа - Личное представление" guid="{19D3A214-C4D6-4FE6-9A50-A9E846DFEC72}" mergeInterval="0" personalView="1" maximized="1" windowWidth="1276" windowHeight="884" activeSheetId="1"/>
    <customWorkbookView name="Fops - Личное представление" guid="{A3331C67-8A36-4D51-83F9-2D71D6F5E7BA}" mergeInterval="0" personalView="1" maximized="1" windowWidth="1020" windowHeight="614" activeSheetId="1" showStatusbar="0"/>
    <customWorkbookView name="vohmyakovaai - Личное представление" guid="{DD5C3F45-D2CB-45EC-9051-F348430664E8}" mergeInterval="0" personalView="1" maximized="1" xWindow="1" yWindow="1" windowWidth="1276" windowHeight="803" activeSheetId="1"/>
    <customWorkbookView name="haldeevagv - Личное представление" guid="{91C1DC54-C312-471D-9246-B789B002B742}" mergeInterval="0" personalView="1" maximized="1" xWindow="1" yWindow="1" windowWidth="1148" windowHeight="643" activeSheetId="1" showComments="commIndAndComment"/>
    <customWorkbookView name="taktashovaev - Личное представление" guid="{C76330A2-057D-4E27-B720-532A3C304D14}" mergeInterval="0" personalView="1" maximized="1" xWindow="1" yWindow="1" windowWidth="1276" windowHeight="739" activeSheetId="1"/>
  </customWorkbookViews>
</workbook>
</file>

<file path=xl/calcChain.xml><?xml version="1.0" encoding="utf-8"?>
<calcChain xmlns="http://schemas.openxmlformats.org/spreadsheetml/2006/main">
  <c r="M25" i="1" l="1"/>
  <c r="G123" i="1"/>
  <c r="H130" i="1"/>
  <c r="F130" i="1"/>
  <c r="F123" i="1" s="1"/>
  <c r="H123" i="1"/>
  <c r="M29" i="1"/>
  <c r="M34" i="1"/>
  <c r="M37" i="1"/>
  <c r="M39" i="1"/>
  <c r="M52" i="1"/>
  <c r="M65" i="1"/>
  <c r="M86" i="1"/>
  <c r="M125" i="1"/>
  <c r="M126" i="1"/>
  <c r="M134" i="1"/>
  <c r="M135" i="1"/>
  <c r="M136" i="1"/>
  <c r="M177" i="1"/>
  <c r="M179" i="1"/>
  <c r="M181" i="1"/>
  <c r="K62" i="1"/>
  <c r="K54" i="1"/>
  <c r="K56" i="1"/>
  <c r="K47" i="1"/>
  <c r="K49" i="1"/>
  <c r="K34" i="1"/>
  <c r="K37" i="1"/>
  <c r="K39" i="1"/>
  <c r="K29" i="1"/>
  <c r="K177" i="1"/>
  <c r="K178" i="1"/>
  <c r="K179" i="1"/>
  <c r="K153" i="1"/>
  <c r="K154" i="1"/>
  <c r="K155" i="1"/>
  <c r="K152" i="1"/>
  <c r="K135" i="1"/>
  <c r="K132" i="1"/>
  <c r="K71" i="1"/>
  <c r="K72" i="1"/>
  <c r="K74" i="1"/>
  <c r="K75" i="1"/>
  <c r="K76" i="1"/>
  <c r="K77" i="1"/>
  <c r="K78" i="1"/>
  <c r="K79" i="1"/>
  <c r="K81" i="1"/>
  <c r="K82" i="1"/>
  <c r="K83" i="1"/>
  <c r="K130" i="1" l="1"/>
  <c r="K109" i="1"/>
  <c r="K92" i="1"/>
  <c r="M58" i="1"/>
  <c r="K58" i="1"/>
  <c r="N52" i="1" l="1"/>
  <c r="L52" i="1"/>
  <c r="L58" i="1"/>
  <c r="N58" i="1"/>
  <c r="D46" i="1"/>
  <c r="N64" i="1"/>
  <c r="L64" i="1"/>
  <c r="G63" i="1"/>
  <c r="N55" i="1"/>
  <c r="L55" i="1"/>
  <c r="F150" i="1"/>
  <c r="F147" i="1"/>
  <c r="F141" i="1"/>
  <c r="F122" i="1" s="1"/>
  <c r="F105" i="1"/>
  <c r="F99" i="1" s="1"/>
  <c r="F97" i="1" s="1"/>
  <c r="F93" i="1"/>
  <c r="F84" i="1"/>
  <c r="F69" i="1"/>
  <c r="G176" i="1"/>
  <c r="F194" i="1"/>
  <c r="F169" i="1"/>
  <c r="D194" i="1"/>
  <c r="H147" i="1"/>
  <c r="D147" i="1"/>
  <c r="F91" i="1" l="1"/>
  <c r="K235" i="1"/>
  <c r="K234" i="1"/>
  <c r="F233" i="1"/>
  <c r="H31" i="1"/>
  <c r="J35" i="1"/>
  <c r="L35" i="1"/>
  <c r="N35" i="1"/>
  <c r="F167" i="1" l="1"/>
  <c r="F226" i="1"/>
  <c r="F224" i="1"/>
  <c r="F222" i="1"/>
  <c r="F217" i="1"/>
  <c r="F216" i="1"/>
  <c r="F215" i="1"/>
  <c r="F208" i="1"/>
  <c r="F205" i="1" s="1"/>
  <c r="F204" i="1" s="1"/>
  <c r="F201" i="1"/>
  <c r="F197" i="1"/>
  <c r="F196" i="1"/>
  <c r="F195" i="1"/>
  <c r="F187" i="1"/>
  <c r="F185" i="1"/>
  <c r="F184" i="1" s="1"/>
  <c r="F182" i="1"/>
  <c r="F166" i="1" l="1"/>
  <c r="G97" i="1"/>
  <c r="F228" i="1" l="1"/>
  <c r="F238" i="1" s="1"/>
  <c r="K238" i="1" s="1"/>
  <c r="H213" i="1"/>
  <c r="H207" i="1"/>
  <c r="H208" i="1"/>
  <c r="H206" i="1"/>
  <c r="H202" i="1"/>
  <c r="H199" i="1"/>
  <c r="K199" i="1" s="1"/>
  <c r="H200" i="1"/>
  <c r="K200" i="1" s="1"/>
  <c r="H198" i="1"/>
  <c r="H191" i="1"/>
  <c r="H192" i="1"/>
  <c r="H193" i="1"/>
  <c r="H194" i="1"/>
  <c r="H190" i="1"/>
  <c r="H187" i="1"/>
  <c r="H188" i="1"/>
  <c r="H186" i="1"/>
  <c r="H183" i="1"/>
  <c r="H176" i="1"/>
  <c r="H172" i="1"/>
  <c r="H173" i="1"/>
  <c r="H174" i="1"/>
  <c r="H175" i="1"/>
  <c r="H171" i="1"/>
  <c r="H169" i="1"/>
  <c r="H168" i="1"/>
  <c r="N92" i="1" l="1"/>
  <c r="M92" i="1"/>
  <c r="M47" i="1"/>
  <c r="F40" i="1" l="1"/>
  <c r="D36" i="1" l="1"/>
  <c r="E159" i="1" l="1"/>
  <c r="D105" i="1"/>
  <c r="D99" i="1" s="1"/>
  <c r="D93" i="1"/>
  <c r="C141" i="1"/>
  <c r="C150" i="1"/>
  <c r="N120" i="1"/>
  <c r="M120" i="1"/>
  <c r="L120" i="1"/>
  <c r="K120" i="1"/>
  <c r="C105" i="1"/>
  <c r="K165" i="1"/>
  <c r="K10" i="1"/>
  <c r="K12" i="1"/>
  <c r="K15" i="1"/>
  <c r="K18" i="1"/>
  <c r="K20" i="1"/>
  <c r="K21" i="1"/>
  <c r="K24" i="1"/>
  <c r="K26" i="1"/>
  <c r="K27" i="1"/>
  <c r="K28" i="1"/>
  <c r="K32" i="1"/>
  <c r="K33" i="1"/>
  <c r="K45" i="1"/>
  <c r="K50" i="1"/>
  <c r="K57" i="1"/>
  <c r="K65" i="1"/>
  <c r="K70" i="1"/>
  <c r="K86" i="1"/>
  <c r="K87" i="1"/>
  <c r="K89" i="1"/>
  <c r="K90" i="1"/>
  <c r="K95" i="1"/>
  <c r="K96" i="1"/>
  <c r="K100" i="1"/>
  <c r="K101" i="1"/>
  <c r="K102" i="1"/>
  <c r="K103" i="1"/>
  <c r="K106" i="1"/>
  <c r="K107" i="1"/>
  <c r="K108" i="1"/>
  <c r="K110" i="1"/>
  <c r="K111" i="1"/>
  <c r="K112" i="1"/>
  <c r="K113" i="1"/>
  <c r="K116" i="1"/>
  <c r="K117" i="1"/>
  <c r="K118" i="1"/>
  <c r="K121" i="1"/>
  <c r="K128" i="1"/>
  <c r="K129" i="1"/>
  <c r="K137" i="1"/>
  <c r="K138" i="1"/>
  <c r="K139" i="1"/>
  <c r="K140" i="1"/>
  <c r="K144" i="1"/>
  <c r="K145" i="1"/>
  <c r="K146" i="1"/>
  <c r="K147" i="1"/>
  <c r="K148" i="1"/>
  <c r="K151" i="1"/>
  <c r="K156" i="1"/>
  <c r="K157" i="1"/>
  <c r="K158" i="1"/>
  <c r="K160" i="1"/>
  <c r="K161" i="1"/>
  <c r="K163" i="1"/>
  <c r="K164" i="1"/>
  <c r="K168" i="1"/>
  <c r="K169" i="1"/>
  <c r="K171" i="1"/>
  <c r="K183" i="1"/>
  <c r="K194" i="1"/>
  <c r="K202" i="1"/>
  <c r="K207" i="1"/>
  <c r="K213" i="1"/>
  <c r="K225" i="1"/>
  <c r="K227" i="1"/>
  <c r="E150" i="1" l="1"/>
  <c r="E141" i="1"/>
  <c r="E132" i="1"/>
  <c r="E114" i="1"/>
  <c r="E105" i="1"/>
  <c r="E97" i="1"/>
  <c r="E93" i="1"/>
  <c r="H210" i="1"/>
  <c r="K210" i="1" s="1"/>
  <c r="H211" i="1"/>
  <c r="K211" i="1" s="1"/>
  <c r="H212" i="1"/>
  <c r="K212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H220" i="1"/>
  <c r="M220" i="1" s="1"/>
  <c r="H221" i="1"/>
  <c r="M221" i="1" s="1"/>
  <c r="K206" i="1"/>
  <c r="K187" i="1"/>
  <c r="K188" i="1"/>
  <c r="K190" i="1"/>
  <c r="K191" i="1"/>
  <c r="K192" i="1"/>
  <c r="K193" i="1"/>
  <c r="H195" i="1"/>
  <c r="K195" i="1" s="1"/>
  <c r="H196" i="1"/>
  <c r="K196" i="1" s="1"/>
  <c r="H197" i="1"/>
  <c r="K197" i="1" s="1"/>
  <c r="K186" i="1"/>
  <c r="K173" i="1"/>
  <c r="K174" i="1"/>
  <c r="K175" i="1"/>
  <c r="K176" i="1"/>
  <c r="E226" i="1"/>
  <c r="E224" i="1"/>
  <c r="E222" i="1"/>
  <c r="E201" i="1"/>
  <c r="E182" i="1"/>
  <c r="E84" i="1"/>
  <c r="E63" i="1"/>
  <c r="F63" i="1"/>
  <c r="E60" i="1"/>
  <c r="F60" i="1"/>
  <c r="E53" i="1"/>
  <c r="F53" i="1"/>
  <c r="E46" i="1"/>
  <c r="F46" i="1"/>
  <c r="E44" i="1"/>
  <c r="F44" i="1"/>
  <c r="E43" i="1"/>
  <c r="E40" i="1"/>
  <c r="E36" i="1"/>
  <c r="F36" i="1"/>
  <c r="E31" i="1"/>
  <c r="F31" i="1"/>
  <c r="E23" i="1"/>
  <c r="F23" i="1"/>
  <c r="E19" i="1"/>
  <c r="F19" i="1"/>
  <c r="E17" i="1"/>
  <c r="F17" i="1"/>
  <c r="E14" i="1"/>
  <c r="E13" i="1" s="1"/>
  <c r="F14" i="1"/>
  <c r="F13" i="1" s="1"/>
  <c r="E11" i="1"/>
  <c r="F11" i="1"/>
  <c r="E9" i="1"/>
  <c r="F9" i="1"/>
  <c r="F8" i="1" s="1"/>
  <c r="K219" i="1" l="1"/>
  <c r="M219" i="1"/>
  <c r="E91" i="1"/>
  <c r="E16" i="1"/>
  <c r="E7" i="1" s="1"/>
  <c r="F43" i="1"/>
  <c r="F22" i="1"/>
  <c r="E22" i="1"/>
  <c r="F16" i="1"/>
  <c r="F7" i="1" s="1"/>
  <c r="E8" i="1"/>
  <c r="E6" i="1" l="1"/>
  <c r="E66" i="1" s="1"/>
  <c r="E237" i="1" s="1"/>
  <c r="F6" i="1"/>
  <c r="F66" i="1" s="1"/>
  <c r="F237" i="1" s="1"/>
  <c r="D167" i="1"/>
  <c r="G167" i="1"/>
  <c r="H167" i="1"/>
  <c r="K167" i="1" s="1"/>
  <c r="C167" i="1"/>
  <c r="N181" i="1"/>
  <c r="L181" i="1"/>
  <c r="N172" i="1"/>
  <c r="M172" i="1"/>
  <c r="L172" i="1"/>
  <c r="N199" i="1"/>
  <c r="N200" i="1"/>
  <c r="M199" i="1"/>
  <c r="M200" i="1"/>
  <c r="L199" i="1"/>
  <c r="L200" i="1"/>
  <c r="G185" i="1"/>
  <c r="H185" i="1"/>
  <c r="K185" i="1" s="1"/>
  <c r="C185" i="1"/>
  <c r="D185" i="1"/>
  <c r="C205" i="1"/>
  <c r="D205" i="1"/>
  <c r="G205" i="1"/>
  <c r="H205" i="1"/>
  <c r="N208" i="1"/>
  <c r="L208" i="1"/>
  <c r="N219" i="1"/>
  <c r="N220" i="1"/>
  <c r="L219" i="1"/>
  <c r="L220" i="1"/>
  <c r="F230" i="1" l="1"/>
  <c r="F236" i="1"/>
  <c r="K205" i="1"/>
  <c r="M76" i="1"/>
  <c r="M77" i="1"/>
  <c r="L133" i="1"/>
  <c r="F232" i="1" l="1"/>
  <c r="L118" i="1"/>
  <c r="L92" i="1"/>
  <c r="L54" i="1"/>
  <c r="L51" i="1"/>
  <c r="L38" i="1"/>
  <c r="L25" i="1"/>
  <c r="H40" i="1" l="1"/>
  <c r="N54" i="1" l="1"/>
  <c r="N56" i="1"/>
  <c r="M54" i="1"/>
  <c r="L56" i="1"/>
  <c r="D53" i="1" l="1"/>
  <c r="G53" i="1"/>
  <c r="H53" i="1"/>
  <c r="K53" i="1" s="1"/>
  <c r="C53" i="1"/>
  <c r="G19" i="1"/>
  <c r="L29" i="1" l="1"/>
  <c r="N29" i="1"/>
  <c r="L183" i="1" l="1"/>
  <c r="M183" i="1"/>
  <c r="N183" i="1"/>
  <c r="G182" i="1"/>
  <c r="H182" i="1"/>
  <c r="K182" i="1" s="1"/>
  <c r="D182" i="1"/>
  <c r="C182" i="1"/>
  <c r="C166" i="1" s="1"/>
  <c r="H141" i="1"/>
  <c r="K141" i="1" s="1"/>
  <c r="L158" i="1"/>
  <c r="M158" i="1"/>
  <c r="N158" i="1"/>
  <c r="N151" i="1"/>
  <c r="M151" i="1"/>
  <c r="L151" i="1"/>
  <c r="D141" i="1"/>
  <c r="D150" i="1"/>
  <c r="G150" i="1"/>
  <c r="G141" i="1" s="1"/>
  <c r="H150" i="1"/>
  <c r="K150" i="1" s="1"/>
  <c r="K123" i="1"/>
  <c r="C123" i="1"/>
  <c r="D132" i="1"/>
  <c r="D130" i="1" s="1"/>
  <c r="D123" i="1" s="1"/>
  <c r="G132" i="1"/>
  <c r="C132" i="1"/>
  <c r="G105" i="1"/>
  <c r="N107" i="1"/>
  <c r="M107" i="1"/>
  <c r="L107" i="1"/>
  <c r="L74" i="1"/>
  <c r="L75" i="1"/>
  <c r="N75" i="1"/>
  <c r="E72" i="1"/>
  <c r="G69" i="1"/>
  <c r="J148" i="1"/>
  <c r="M148" i="1"/>
  <c r="N148" i="1"/>
  <c r="M156" i="1"/>
  <c r="J156" i="1"/>
  <c r="L156" i="1"/>
  <c r="N156" i="1"/>
  <c r="M157" i="1"/>
  <c r="L157" i="1"/>
  <c r="N157" i="1"/>
  <c r="E130" i="1"/>
  <c r="N134" i="1"/>
  <c r="L134" i="1"/>
  <c r="J134" i="1"/>
  <c r="G114" i="1"/>
  <c r="K114" i="1"/>
  <c r="E71" i="1"/>
  <c r="D69" i="1"/>
  <c r="C69" i="1"/>
  <c r="E123" i="1" l="1"/>
  <c r="E122" i="1" s="1"/>
  <c r="E69" i="1"/>
  <c r="M109" i="1"/>
  <c r="M182" i="1"/>
  <c r="L182" i="1"/>
  <c r="N182" i="1"/>
  <c r="D166" i="1"/>
  <c r="H105" i="1"/>
  <c r="E207" i="1"/>
  <c r="E205" i="1" s="1"/>
  <c r="E204" i="1" s="1"/>
  <c r="E194" i="1"/>
  <c r="E188" i="1"/>
  <c r="E185" i="1" s="1"/>
  <c r="E184" i="1" s="1"/>
  <c r="H166" i="1"/>
  <c r="K166" i="1" s="1"/>
  <c r="G166" i="1"/>
  <c r="E169" i="1"/>
  <c r="E167" i="1" s="1"/>
  <c r="E166" i="1" s="1"/>
  <c r="K105" i="1" l="1"/>
  <c r="H99" i="1"/>
  <c r="E228" i="1"/>
  <c r="E238" i="1" s="1"/>
  <c r="N99" i="1"/>
  <c r="L166" i="1"/>
  <c r="N61" i="1"/>
  <c r="L61" i="1"/>
  <c r="J61" i="1"/>
  <c r="J51" i="1"/>
  <c r="J47" i="1"/>
  <c r="J48" i="1"/>
  <c r="H97" i="1" l="1"/>
  <c r="K97" i="1" s="1"/>
  <c r="K99" i="1"/>
  <c r="E230" i="1"/>
  <c r="E236" i="1"/>
  <c r="D60" i="1"/>
  <c r="G60" i="1"/>
  <c r="H60" i="1"/>
  <c r="C60" i="1"/>
  <c r="M60" i="1" l="1"/>
  <c r="K60" i="1"/>
  <c r="N57" i="1"/>
  <c r="M57" i="1"/>
  <c r="L57" i="1"/>
  <c r="J57" i="1"/>
  <c r="J234" i="1" l="1"/>
  <c r="J235" i="1"/>
  <c r="M211" i="1"/>
  <c r="M212" i="1"/>
  <c r="M213" i="1"/>
  <c r="M214" i="1"/>
  <c r="M175" i="1"/>
  <c r="M176" i="1"/>
  <c r="M160" i="1"/>
  <c r="M161" i="1"/>
  <c r="M163" i="1"/>
  <c r="M164" i="1"/>
  <c r="M165" i="1"/>
  <c r="M153" i="1"/>
  <c r="M155" i="1"/>
  <c r="M137" i="1"/>
  <c r="M138" i="1"/>
  <c r="M139" i="1"/>
  <c r="M140" i="1"/>
  <c r="M144" i="1"/>
  <c r="M145" i="1"/>
  <c r="M146" i="1"/>
  <c r="M147" i="1"/>
  <c r="M129" i="1"/>
  <c r="M130" i="1"/>
  <c r="M132" i="1"/>
  <c r="M10" i="1"/>
  <c r="M12" i="1"/>
  <c r="M15" i="1"/>
  <c r="M18" i="1"/>
  <c r="M20" i="1"/>
  <c r="M21" i="1"/>
  <c r="M24" i="1"/>
  <c r="M26" i="1"/>
  <c r="M27" i="1"/>
  <c r="M28" i="1"/>
  <c r="M32" i="1"/>
  <c r="M33" i="1"/>
  <c r="M45" i="1"/>
  <c r="M49" i="1"/>
  <c r="M50" i="1"/>
  <c r="M62" i="1"/>
  <c r="J153" i="1"/>
  <c r="J155" i="1"/>
  <c r="J145" i="1"/>
  <c r="J146" i="1"/>
  <c r="J129" i="1"/>
  <c r="J130" i="1"/>
  <c r="J132" i="1"/>
  <c r="J135" i="1"/>
  <c r="J137" i="1"/>
  <c r="J138" i="1"/>
  <c r="J139" i="1"/>
  <c r="J140" i="1"/>
  <c r="J125" i="1"/>
  <c r="J126" i="1"/>
  <c r="J111" i="1"/>
  <c r="J113" i="1"/>
  <c r="J114" i="1"/>
  <c r="J116" i="1"/>
  <c r="J117" i="1"/>
  <c r="J118" i="1"/>
  <c r="J121" i="1"/>
  <c r="J62" i="1"/>
  <c r="J34" i="1"/>
  <c r="J37" i="1"/>
  <c r="J39" i="1"/>
  <c r="J33" i="1"/>
  <c r="H233" i="1"/>
  <c r="M113" i="1" l="1"/>
  <c r="M111" i="1"/>
  <c r="D40" i="1"/>
  <c r="J25" i="1" l="1"/>
  <c r="N25" i="1"/>
  <c r="N47" i="1"/>
  <c r="N48" i="1"/>
  <c r="N49" i="1"/>
  <c r="N50" i="1"/>
  <c r="N51" i="1"/>
  <c r="N59" i="1"/>
  <c r="N62" i="1"/>
  <c r="N65" i="1"/>
  <c r="L59" i="1"/>
  <c r="L62" i="1"/>
  <c r="L65" i="1"/>
  <c r="L48" i="1"/>
  <c r="L49" i="1"/>
  <c r="L50" i="1"/>
  <c r="D63" i="1"/>
  <c r="H63" i="1"/>
  <c r="C63" i="1"/>
  <c r="K63" i="1" l="1"/>
  <c r="M63" i="1"/>
  <c r="N63" i="1"/>
  <c r="L63" i="1"/>
  <c r="J180" i="1"/>
  <c r="J193" i="1"/>
  <c r="J198" i="1"/>
  <c r="J223" i="1"/>
  <c r="N221" i="1"/>
  <c r="L221" i="1"/>
  <c r="M141" i="1" l="1"/>
  <c r="K159" i="1"/>
  <c r="H93" i="1"/>
  <c r="J150" i="1"/>
  <c r="K93" i="1" l="1"/>
  <c r="H91" i="1"/>
  <c r="K91" i="1" s="1"/>
  <c r="J147" i="1"/>
  <c r="H122" i="1"/>
  <c r="K122" i="1" s="1"/>
  <c r="J141" i="1" l="1"/>
  <c r="G159" i="1"/>
  <c r="G122" i="1" s="1"/>
  <c r="L198" i="1"/>
  <c r="C201" i="1"/>
  <c r="G201" i="1"/>
  <c r="H201" i="1"/>
  <c r="K201" i="1" s="1"/>
  <c r="D201" i="1"/>
  <c r="N203" i="1"/>
  <c r="D184" i="1"/>
  <c r="N223" i="1"/>
  <c r="L223" i="1"/>
  <c r="J206" i="1"/>
  <c r="L206" i="1"/>
  <c r="H222" i="1"/>
  <c r="H204" i="1" s="1"/>
  <c r="G222" i="1"/>
  <c r="G204" i="1" s="1"/>
  <c r="D222" i="1"/>
  <c r="D204" i="1" s="1"/>
  <c r="C222" i="1"/>
  <c r="C204" i="1" s="1"/>
  <c r="J222" i="1" l="1"/>
  <c r="L222" i="1"/>
  <c r="N222" i="1"/>
  <c r="C97" i="1"/>
  <c r="K204" i="1" l="1"/>
  <c r="J50" i="1"/>
  <c r="G46" i="1"/>
  <c r="H46" i="1"/>
  <c r="K46" i="1" s="1"/>
  <c r="C46" i="1"/>
  <c r="J60" i="1"/>
  <c r="M46" i="1" l="1"/>
  <c r="L46" i="1"/>
  <c r="N60" i="1"/>
  <c r="L60" i="1"/>
  <c r="N235" i="1"/>
  <c r="N234" i="1"/>
  <c r="N227" i="1"/>
  <c r="N225" i="1"/>
  <c r="N218" i="1"/>
  <c r="N211" i="1"/>
  <c r="N212" i="1"/>
  <c r="N213" i="1"/>
  <c r="N214" i="1"/>
  <c r="N210" i="1"/>
  <c r="N207" i="1"/>
  <c r="N202" i="1"/>
  <c r="N198" i="1"/>
  <c r="N191" i="1"/>
  <c r="N192" i="1"/>
  <c r="N193" i="1"/>
  <c r="N194" i="1"/>
  <c r="N190" i="1"/>
  <c r="N188" i="1"/>
  <c r="N186" i="1"/>
  <c r="N180" i="1"/>
  <c r="N173" i="1"/>
  <c r="N174" i="1"/>
  <c r="N175" i="1"/>
  <c r="N176" i="1"/>
  <c r="N171" i="1"/>
  <c r="N169" i="1"/>
  <c r="N168" i="1"/>
  <c r="N164" i="1"/>
  <c r="N165" i="1"/>
  <c r="N163" i="1"/>
  <c r="N160" i="1"/>
  <c r="N159" i="1"/>
  <c r="N153" i="1"/>
  <c r="N154" i="1"/>
  <c r="N155" i="1"/>
  <c r="N152" i="1"/>
  <c r="N125" i="1"/>
  <c r="N126" i="1"/>
  <c r="N127" i="1"/>
  <c r="N128" i="1"/>
  <c r="N129" i="1"/>
  <c r="N130" i="1"/>
  <c r="N132" i="1"/>
  <c r="N133" i="1"/>
  <c r="N135" i="1"/>
  <c r="N136" i="1"/>
  <c r="N143" i="1"/>
  <c r="N137" i="1"/>
  <c r="N138" i="1"/>
  <c r="N139" i="1"/>
  <c r="N140" i="1"/>
  <c r="N141" i="1"/>
  <c r="N144" i="1"/>
  <c r="N145" i="1"/>
  <c r="N146" i="1"/>
  <c r="N147" i="1"/>
  <c r="N150" i="1"/>
  <c r="N123" i="1"/>
  <c r="N121" i="1"/>
  <c r="N96" i="1"/>
  <c r="N100" i="1"/>
  <c r="N101" i="1"/>
  <c r="N102" i="1"/>
  <c r="N103" i="1"/>
  <c r="N105" i="1"/>
  <c r="N106" i="1"/>
  <c r="N108" i="1"/>
  <c r="N109" i="1"/>
  <c r="N110" i="1"/>
  <c r="N111" i="1"/>
  <c r="N112" i="1"/>
  <c r="N113" i="1"/>
  <c r="N114" i="1"/>
  <c r="N116" i="1"/>
  <c r="N117" i="1"/>
  <c r="N118" i="1"/>
  <c r="N95" i="1"/>
  <c r="N88" i="1"/>
  <c r="N71" i="1"/>
  <c r="N72" i="1"/>
  <c r="N74" i="1"/>
  <c r="N76" i="1"/>
  <c r="N77" i="1"/>
  <c r="N78" i="1"/>
  <c r="N79" i="1"/>
  <c r="N80" i="1"/>
  <c r="N81" i="1"/>
  <c r="N82" i="1"/>
  <c r="N83" i="1"/>
  <c r="N70" i="1"/>
  <c r="N45" i="1"/>
  <c r="N34" i="1"/>
  <c r="N37" i="1"/>
  <c r="N38" i="1"/>
  <c r="N39" i="1"/>
  <c r="N41" i="1"/>
  <c r="N42" i="1"/>
  <c r="N30" i="1"/>
  <c r="N32" i="1"/>
  <c r="N24" i="1"/>
  <c r="N26" i="1"/>
  <c r="N27" i="1"/>
  <c r="N15" i="1"/>
  <c r="N18" i="1"/>
  <c r="N20" i="1"/>
  <c r="N21" i="1"/>
  <c r="N10" i="1"/>
  <c r="N12" i="1"/>
  <c r="H9" i="1"/>
  <c r="K9" i="1" s="1"/>
  <c r="H11" i="1"/>
  <c r="K11" i="1" s="1"/>
  <c r="H14" i="1"/>
  <c r="H17" i="1"/>
  <c r="K17" i="1" s="1"/>
  <c r="H19" i="1"/>
  <c r="K19" i="1" s="1"/>
  <c r="H23" i="1"/>
  <c r="K23" i="1" s="1"/>
  <c r="K31" i="1"/>
  <c r="H36" i="1"/>
  <c r="H44" i="1"/>
  <c r="N46" i="1"/>
  <c r="H69" i="1"/>
  <c r="K69" i="1" s="1"/>
  <c r="H84" i="1"/>
  <c r="H184" i="1"/>
  <c r="K184" i="1" s="1"/>
  <c r="H224" i="1"/>
  <c r="K224" i="1" s="1"/>
  <c r="H226" i="1"/>
  <c r="K226" i="1" s="1"/>
  <c r="G233" i="1"/>
  <c r="G226" i="1"/>
  <c r="G224" i="1"/>
  <c r="G184" i="1"/>
  <c r="G93" i="1"/>
  <c r="G84" i="1"/>
  <c r="G44" i="1"/>
  <c r="G43" i="1" s="1"/>
  <c r="G40" i="1"/>
  <c r="G36" i="1"/>
  <c r="G31" i="1"/>
  <c r="G23" i="1"/>
  <c r="G17" i="1"/>
  <c r="G14" i="1"/>
  <c r="G13" i="1" s="1"/>
  <c r="G11" i="1"/>
  <c r="G9" i="1"/>
  <c r="G8" i="1" s="1"/>
  <c r="H43" i="1" l="1"/>
  <c r="K43" i="1" s="1"/>
  <c r="K44" i="1"/>
  <c r="H13" i="1"/>
  <c r="K13" i="1" s="1"/>
  <c r="K14" i="1"/>
  <c r="G22" i="1"/>
  <c r="H22" i="1"/>
  <c r="K22" i="1" s="1"/>
  <c r="G91" i="1"/>
  <c r="G228" i="1" s="1"/>
  <c r="H8" i="1"/>
  <c r="N53" i="1"/>
  <c r="N19" i="1"/>
  <c r="N31" i="1"/>
  <c r="N40" i="1"/>
  <c r="N11" i="1"/>
  <c r="N17" i="1"/>
  <c r="N23" i="1"/>
  <c r="N36" i="1"/>
  <c r="N224" i="1"/>
  <c r="N201" i="1"/>
  <c r="N184" i="1"/>
  <c r="N84" i="1"/>
  <c r="N226" i="1"/>
  <c r="N185" i="1"/>
  <c r="N167" i="1"/>
  <c r="N122" i="1"/>
  <c r="N93" i="1"/>
  <c r="N69" i="1"/>
  <c r="N44" i="1"/>
  <c r="N166" i="1"/>
  <c r="N13" i="1"/>
  <c r="N97" i="1"/>
  <c r="N233" i="1"/>
  <c r="N28" i="1"/>
  <c r="N33" i="1"/>
  <c r="N14" i="1"/>
  <c r="N9" i="1"/>
  <c r="H16" i="1"/>
  <c r="K16" i="1" s="1"/>
  <c r="G16" i="1"/>
  <c r="J70" i="1"/>
  <c r="J71" i="1"/>
  <c r="J72" i="1"/>
  <c r="J74" i="1"/>
  <c r="J76" i="1"/>
  <c r="J77" i="1"/>
  <c r="J79" i="1"/>
  <c r="J81" i="1"/>
  <c r="J82" i="1"/>
  <c r="J83" i="1"/>
  <c r="J86" i="1"/>
  <c r="J87" i="1"/>
  <c r="J88" i="1"/>
  <c r="J89" i="1"/>
  <c r="J90" i="1"/>
  <c r="J95" i="1"/>
  <c r="J96" i="1"/>
  <c r="J99" i="1"/>
  <c r="J100" i="1"/>
  <c r="J101" i="1"/>
  <c r="J102" i="1"/>
  <c r="J103" i="1"/>
  <c r="J106" i="1"/>
  <c r="J108" i="1"/>
  <c r="J110" i="1"/>
  <c r="J127" i="1"/>
  <c r="J152" i="1"/>
  <c r="J160" i="1"/>
  <c r="J161" i="1"/>
  <c r="J163" i="1"/>
  <c r="J164" i="1"/>
  <c r="J165" i="1"/>
  <c r="J168" i="1"/>
  <c r="J169" i="1"/>
  <c r="J171" i="1"/>
  <c r="J173" i="1"/>
  <c r="J174" i="1"/>
  <c r="J176" i="1"/>
  <c r="J177" i="1"/>
  <c r="J178" i="1"/>
  <c r="J179" i="1"/>
  <c r="J186" i="1"/>
  <c r="J187" i="1"/>
  <c r="J188" i="1"/>
  <c r="J190" i="1"/>
  <c r="J191" i="1"/>
  <c r="J192" i="1"/>
  <c r="J194" i="1"/>
  <c r="J195" i="1"/>
  <c r="J196" i="1"/>
  <c r="J197" i="1"/>
  <c r="J199" i="1"/>
  <c r="J202" i="1"/>
  <c r="J203" i="1"/>
  <c r="J207" i="1"/>
  <c r="J210" i="1"/>
  <c r="J211" i="1"/>
  <c r="J212" i="1"/>
  <c r="J214" i="1"/>
  <c r="J215" i="1"/>
  <c r="J216" i="1"/>
  <c r="J217" i="1"/>
  <c r="J218" i="1"/>
  <c r="J225" i="1"/>
  <c r="J227" i="1"/>
  <c r="J159" i="1"/>
  <c r="D122" i="1"/>
  <c r="J123" i="1"/>
  <c r="D114" i="1"/>
  <c r="J105" i="1"/>
  <c r="J93" i="1"/>
  <c r="D97" i="1"/>
  <c r="C114" i="1"/>
  <c r="N8" i="1" l="1"/>
  <c r="K8" i="1"/>
  <c r="N22" i="1"/>
  <c r="D91" i="1"/>
  <c r="H7" i="1"/>
  <c r="N43" i="1"/>
  <c r="N91" i="1"/>
  <c r="H228" i="1"/>
  <c r="I92" i="1" s="1"/>
  <c r="G7" i="1"/>
  <c r="N16" i="1"/>
  <c r="J201" i="1"/>
  <c r="M69" i="1"/>
  <c r="J238" i="1" l="1"/>
  <c r="H6" i="1"/>
  <c r="H66" i="1" s="1"/>
  <c r="K7" i="1"/>
  <c r="K228" i="1"/>
  <c r="I120" i="1"/>
  <c r="I181" i="1"/>
  <c r="I172" i="1"/>
  <c r="I200" i="1"/>
  <c r="I199" i="1"/>
  <c r="I219" i="1"/>
  <c r="I208" i="1"/>
  <c r="I220" i="1"/>
  <c r="I182" i="1"/>
  <c r="I191" i="1"/>
  <c r="I133" i="1"/>
  <c r="I183" i="1"/>
  <c r="I150" i="1"/>
  <c r="I166" i="1"/>
  <c r="I151" i="1"/>
  <c r="I158" i="1"/>
  <c r="I75" i="1"/>
  <c r="I107" i="1"/>
  <c r="I134" i="1"/>
  <c r="I156" i="1"/>
  <c r="I132" i="1"/>
  <c r="I157" i="1"/>
  <c r="N7" i="1"/>
  <c r="I206" i="1"/>
  <c r="I221" i="1"/>
  <c r="I223" i="1"/>
  <c r="I222" i="1"/>
  <c r="N206" i="1"/>
  <c r="G6" i="1"/>
  <c r="G66" i="1" s="1"/>
  <c r="G236" i="1" s="1"/>
  <c r="G232" i="1" s="1"/>
  <c r="E233" i="1"/>
  <c r="E232" i="1" s="1"/>
  <c r="J10" i="1"/>
  <c r="J12" i="1"/>
  <c r="J15" i="1"/>
  <c r="J18" i="1"/>
  <c r="J20" i="1"/>
  <c r="J21" i="1"/>
  <c r="J24" i="1"/>
  <c r="J26" i="1"/>
  <c r="J27" i="1"/>
  <c r="J30" i="1"/>
  <c r="J32" i="1"/>
  <c r="J42" i="1"/>
  <c r="J45" i="1"/>
  <c r="J59" i="1"/>
  <c r="I52" i="1" l="1"/>
  <c r="I58" i="1"/>
  <c r="I35" i="1"/>
  <c r="I55" i="1"/>
  <c r="K66" i="1"/>
  <c r="K6" i="1"/>
  <c r="I62" i="1"/>
  <c r="I54" i="1"/>
  <c r="I61" i="1"/>
  <c r="I49" i="1"/>
  <c r="I57" i="1"/>
  <c r="I56" i="1"/>
  <c r="I50" i="1"/>
  <c r="I63" i="1"/>
  <c r="I30" i="1"/>
  <c r="I29" i="1"/>
  <c r="I60" i="1"/>
  <c r="I65" i="1"/>
  <c r="I46" i="1"/>
  <c r="H230" i="1"/>
  <c r="I48" i="1"/>
  <c r="I39" i="1"/>
  <c r="I40" i="1"/>
  <c r="I41" i="1"/>
  <c r="I53" i="1"/>
  <c r="I25" i="1"/>
  <c r="N6" i="1"/>
  <c r="N205" i="1"/>
  <c r="N66" i="1"/>
  <c r="N237" i="1" s="1"/>
  <c r="I230" i="1" l="1"/>
  <c r="K230" i="1"/>
  <c r="H236" i="1"/>
  <c r="K236" i="1" s="1"/>
  <c r="N204" i="1"/>
  <c r="J28" i="1"/>
  <c r="J236" i="1" l="1"/>
  <c r="H232" i="1"/>
  <c r="K232" i="1" s="1"/>
  <c r="N236" i="1"/>
  <c r="N228" i="1"/>
  <c r="G230" i="1"/>
  <c r="N230" i="1" s="1"/>
  <c r="I232" i="1" l="1"/>
  <c r="I236" i="1"/>
  <c r="N232" i="1"/>
  <c r="M150" i="1"/>
  <c r="C93" i="1"/>
  <c r="C91" i="1" s="1"/>
  <c r="J167" i="1" l="1"/>
  <c r="J166" i="1"/>
  <c r="L39" i="1"/>
  <c r="C36" i="1"/>
  <c r="L113" i="1" l="1"/>
  <c r="L53" i="1" l="1"/>
  <c r="M53" i="1"/>
  <c r="J53" i="1"/>
  <c r="L138" i="1"/>
  <c r="L139" i="1"/>
  <c r="L140" i="1"/>
  <c r="L144" i="1"/>
  <c r="L127" i="1"/>
  <c r="J46" i="1" l="1"/>
  <c r="L47" i="1"/>
  <c r="J69" i="1" l="1"/>
  <c r="D17" i="1"/>
  <c r="M17" i="1" s="1"/>
  <c r="C159" i="1" l="1"/>
  <c r="L132" i="1"/>
  <c r="J97" i="1" l="1"/>
  <c r="M169" i="1" l="1"/>
  <c r="L169" i="1"/>
  <c r="L76" i="1"/>
  <c r="L77" i="1"/>
  <c r="J122" i="1" l="1"/>
  <c r="L126" i="1" l="1"/>
  <c r="L137" i="1" l="1"/>
  <c r="L30" i="1" l="1"/>
  <c r="M207" i="1" l="1"/>
  <c r="L207" i="1"/>
  <c r="J185" i="1" l="1"/>
  <c r="J184" i="1"/>
  <c r="J205" i="1"/>
  <c r="J204" i="1"/>
  <c r="M188" i="1"/>
  <c r="L188" i="1"/>
  <c r="M118" i="1" l="1"/>
  <c r="L71" i="1" l="1"/>
  <c r="M82" i="1" l="1"/>
  <c r="L135" i="1"/>
  <c r="C184" i="1" l="1"/>
  <c r="M152" i="1"/>
  <c r="L152" i="1"/>
  <c r="L153" i="1"/>
  <c r="L154" i="1"/>
  <c r="L155" i="1"/>
  <c r="M100" i="1" l="1"/>
  <c r="M101" i="1"/>
  <c r="M102" i="1"/>
  <c r="M103" i="1"/>
  <c r="M106" i="1"/>
  <c r="M108" i="1"/>
  <c r="M110" i="1"/>
  <c r="L100" i="1"/>
  <c r="L101" i="1"/>
  <c r="L102" i="1"/>
  <c r="L103" i="1"/>
  <c r="L106" i="1"/>
  <c r="L108" i="1"/>
  <c r="L109" i="1"/>
  <c r="L110" i="1"/>
  <c r="L150" i="1" l="1"/>
  <c r="M105" i="1" l="1"/>
  <c r="L105" i="1"/>
  <c r="N161" i="1"/>
  <c r="L161" i="1"/>
  <c r="L136" i="1" l="1"/>
  <c r="L130" i="1"/>
  <c r="M193" i="1"/>
  <c r="M194" i="1"/>
  <c r="M191" i="1"/>
  <c r="L193" i="1"/>
  <c r="L194" i="1"/>
  <c r="L191" i="1"/>
  <c r="N197" i="1"/>
  <c r="M197" i="1"/>
  <c r="L197" i="1"/>
  <c r="N217" i="1" l="1"/>
  <c r="M217" i="1"/>
  <c r="L217" i="1"/>
  <c r="L213" i="1"/>
  <c r="L214" i="1"/>
  <c r="L211" i="1"/>
  <c r="L175" i="1"/>
  <c r="L173" i="1"/>
  <c r="L171" i="1"/>
  <c r="N179" i="1"/>
  <c r="L179" i="1"/>
  <c r="L176" i="1"/>
  <c r="M173" i="1"/>
  <c r="L168" i="1"/>
  <c r="C40" i="1"/>
  <c r="L42" i="1"/>
  <c r="C14" i="1"/>
  <c r="C233" i="1"/>
  <c r="L12" i="1"/>
  <c r="D44" i="1"/>
  <c r="D43" i="1" s="1"/>
  <c r="J44" i="1"/>
  <c r="D31" i="1"/>
  <c r="J31" i="1"/>
  <c r="D23" i="1"/>
  <c r="M23" i="1" s="1"/>
  <c r="J23" i="1"/>
  <c r="D19" i="1"/>
  <c r="M19" i="1" s="1"/>
  <c r="J19" i="1"/>
  <c r="J17" i="1"/>
  <c r="D14" i="1"/>
  <c r="J14" i="1"/>
  <c r="D11" i="1"/>
  <c r="M11" i="1" s="1"/>
  <c r="J11" i="1"/>
  <c r="D9" i="1"/>
  <c r="J9" i="1"/>
  <c r="M31" i="1" l="1"/>
  <c r="D22" i="1"/>
  <c r="M22" i="1" s="1"/>
  <c r="M43" i="1"/>
  <c r="M44" i="1"/>
  <c r="D8" i="1"/>
  <c r="M8" i="1" s="1"/>
  <c r="M9" i="1"/>
  <c r="D13" i="1"/>
  <c r="M13" i="1" s="1"/>
  <c r="M14" i="1"/>
  <c r="J8" i="1"/>
  <c r="J13" i="1"/>
  <c r="J16" i="1"/>
  <c r="J22" i="1"/>
  <c r="D16" i="1"/>
  <c r="M16" i="1" s="1"/>
  <c r="L11" i="1"/>
  <c r="C9" i="1"/>
  <c r="C31" i="1"/>
  <c r="C23" i="1"/>
  <c r="C11" i="1"/>
  <c r="D84" i="1"/>
  <c r="J84" i="1"/>
  <c r="C84" i="1"/>
  <c r="M227" i="1"/>
  <c r="L227" i="1"/>
  <c r="J226" i="1"/>
  <c r="D226" i="1"/>
  <c r="C226" i="1"/>
  <c r="C22" i="1" l="1"/>
  <c r="D7" i="1"/>
  <c r="M7" i="1" s="1"/>
  <c r="J7" i="1"/>
  <c r="M226" i="1"/>
  <c r="L226" i="1"/>
  <c r="L160" i="1"/>
  <c r="C122" i="1"/>
  <c r="L143" i="1"/>
  <c r="L129" i="1"/>
  <c r="L128" i="1"/>
  <c r="M117" i="1"/>
  <c r="L117" i="1"/>
  <c r="L26" i="1"/>
  <c r="D6" i="1" l="1"/>
  <c r="J6" i="1"/>
  <c r="M122" i="1"/>
  <c r="L164" i="1" l="1"/>
  <c r="M96" i="1"/>
  <c r="L96" i="1"/>
  <c r="L34" i="1"/>
  <c r="L37" i="1" l="1"/>
  <c r="L41" i="1"/>
  <c r="L9" i="1"/>
  <c r="L10" i="1"/>
  <c r="L15" i="1"/>
  <c r="L18" i="1"/>
  <c r="L20" i="1"/>
  <c r="L21" i="1"/>
  <c r="L24" i="1"/>
  <c r="L27" i="1"/>
  <c r="L28" i="1"/>
  <c r="L32" i="1"/>
  <c r="L33" i="1"/>
  <c r="L45" i="1"/>
  <c r="C44" i="1"/>
  <c r="C43" i="1" s="1"/>
  <c r="C19" i="1"/>
  <c r="C17" i="1"/>
  <c r="C13" i="1"/>
  <c r="C8" i="1"/>
  <c r="D66" i="1" l="1"/>
  <c r="J43" i="1"/>
  <c r="L36" i="1"/>
  <c r="L40" i="1"/>
  <c r="L44" i="1"/>
  <c r="L31" i="1"/>
  <c r="L13" i="1"/>
  <c r="L23" i="1"/>
  <c r="L19" i="1"/>
  <c r="L17" i="1"/>
  <c r="L14" i="1"/>
  <c r="L8" i="1"/>
  <c r="C16" i="1"/>
  <c r="C7" i="1" s="1"/>
  <c r="D237" i="1" l="1"/>
  <c r="M237" i="1" s="1"/>
  <c r="L66" i="1"/>
  <c r="M66" i="1"/>
  <c r="C6" i="1"/>
  <c r="C66" i="1" s="1"/>
  <c r="C237" i="1" s="1"/>
  <c r="L43" i="1"/>
  <c r="L22" i="1"/>
  <c r="L16" i="1"/>
  <c r="J66" i="1" l="1"/>
  <c r="I47" i="1"/>
  <c r="I42" i="1"/>
  <c r="I59" i="1"/>
  <c r="I9" i="1"/>
  <c r="I66" i="1"/>
  <c r="I12" i="1"/>
  <c r="I38" i="1"/>
  <c r="I11" i="1"/>
  <c r="M6" i="1"/>
  <c r="L7" i="1"/>
  <c r="L6" i="1"/>
  <c r="I34" i="1" l="1"/>
  <c r="I26" i="1"/>
  <c r="I37" i="1" l="1"/>
  <c r="I36" i="1"/>
  <c r="I27" i="1"/>
  <c r="I51" i="1"/>
  <c r="I45" i="1"/>
  <c r="I32" i="1"/>
  <c r="I28" i="1"/>
  <c r="I24" i="1"/>
  <c r="I20" i="1"/>
  <c r="I18" i="1"/>
  <c r="I15" i="1"/>
  <c r="I33" i="1"/>
  <c r="I21" i="1"/>
  <c r="I10" i="1"/>
  <c r="I8" i="1"/>
  <c r="I14" i="1"/>
  <c r="I16" i="1"/>
  <c r="I23" i="1"/>
  <c r="I17" i="1"/>
  <c r="I13" i="1"/>
  <c r="I7" i="1"/>
  <c r="I19" i="1"/>
  <c r="I44" i="1"/>
  <c r="I31" i="1"/>
  <c r="I43" i="1"/>
  <c r="I22" i="1"/>
  <c r="I6" i="1"/>
  <c r="L174" i="1" l="1"/>
  <c r="M174" i="1"/>
  <c r="M218" i="1" l="1"/>
  <c r="L218" i="1"/>
  <c r="L212" i="1"/>
  <c r="M210" i="1"/>
  <c r="L210" i="1"/>
  <c r="L180" i="1"/>
  <c r="M171" i="1"/>
  <c r="M83" i="1"/>
  <c r="L83" i="1"/>
  <c r="M81" i="1"/>
  <c r="L81" i="1"/>
  <c r="L69" i="1" l="1"/>
  <c r="L82" i="1"/>
  <c r="L90" i="1" l="1"/>
  <c r="M90" i="1"/>
  <c r="N90" i="1"/>
  <c r="L97" i="1" l="1"/>
  <c r="L70" i="1"/>
  <c r="M70" i="1"/>
  <c r="M71" i="1"/>
  <c r="L72" i="1"/>
  <c r="M72" i="1"/>
  <c r="L78" i="1"/>
  <c r="L79" i="1"/>
  <c r="M79" i="1"/>
  <c r="L86" i="1"/>
  <c r="N86" i="1"/>
  <c r="L93" i="1"/>
  <c r="M93" i="1"/>
  <c r="L95" i="1"/>
  <c r="M95" i="1"/>
  <c r="M97" i="1"/>
  <c r="L99" i="1"/>
  <c r="M99" i="1"/>
  <c r="L111" i="1"/>
  <c r="L121" i="1"/>
  <c r="M121" i="1"/>
  <c r="L163" i="1"/>
  <c r="L165" i="1"/>
  <c r="L123" i="1"/>
  <c r="M123" i="1"/>
  <c r="L125" i="1"/>
  <c r="L141" i="1"/>
  <c r="L145" i="1"/>
  <c r="L146" i="1"/>
  <c r="L147" i="1"/>
  <c r="L159" i="1"/>
  <c r="M159" i="1"/>
  <c r="M168" i="1"/>
  <c r="L177" i="1"/>
  <c r="N177" i="1"/>
  <c r="L190" i="1"/>
  <c r="M190" i="1"/>
  <c r="L192" i="1"/>
  <c r="M192" i="1"/>
  <c r="M198" i="1"/>
  <c r="L186" i="1"/>
  <c r="M186" i="1"/>
  <c r="L195" i="1"/>
  <c r="M195" i="1"/>
  <c r="N195" i="1"/>
  <c r="L202" i="1"/>
  <c r="M202" i="1"/>
  <c r="L203" i="1"/>
  <c r="L205" i="1"/>
  <c r="M205" i="1"/>
  <c r="M206" i="1"/>
  <c r="L215" i="1"/>
  <c r="M215" i="1"/>
  <c r="N215" i="1"/>
  <c r="L225" i="1"/>
  <c r="M225" i="1"/>
  <c r="L88" i="1"/>
  <c r="L116" i="1"/>
  <c r="M116" i="1"/>
  <c r="M74" i="1"/>
  <c r="D224" i="1"/>
  <c r="D228" i="1" s="1"/>
  <c r="J224" i="1"/>
  <c r="C224" i="1"/>
  <c r="D238" i="1" l="1"/>
  <c r="L228" i="1"/>
  <c r="M184" i="1"/>
  <c r="L185" i="1"/>
  <c r="M167" i="1"/>
  <c r="L167" i="1"/>
  <c r="M185" i="1"/>
  <c r="L224" i="1"/>
  <c r="L204" i="1"/>
  <c r="L201" i="1"/>
  <c r="L122" i="1"/>
  <c r="L84" i="1"/>
  <c r="M224" i="1"/>
  <c r="M204" i="1"/>
  <c r="M201" i="1"/>
  <c r="M166" i="1"/>
  <c r="L184" i="1" l="1"/>
  <c r="M234" i="1" l="1"/>
  <c r="M235" i="1"/>
  <c r="L234" i="1"/>
  <c r="L235" i="1"/>
  <c r="L238" i="1" l="1"/>
  <c r="M238" i="1"/>
  <c r="D236" i="1" l="1"/>
  <c r="D232" i="1" s="1"/>
  <c r="M232" i="1" s="1"/>
  <c r="D230" i="1"/>
  <c r="M230" i="1" s="1"/>
  <c r="L237" i="1" l="1"/>
  <c r="M236" i="1" l="1"/>
  <c r="L236" i="1"/>
  <c r="J232" i="1"/>
  <c r="L232" i="1" l="1"/>
  <c r="L114" i="1" l="1"/>
  <c r="M114" i="1"/>
  <c r="J228" i="1" l="1"/>
  <c r="J91" i="1"/>
  <c r="M91" i="1"/>
  <c r="L91" i="1"/>
  <c r="I113" i="1" l="1"/>
  <c r="I144" i="1"/>
  <c r="I127" i="1"/>
  <c r="I164" i="1"/>
  <c r="M228" i="1"/>
  <c r="I217" i="1"/>
  <c r="I215" i="1"/>
  <c r="N238" i="1"/>
  <c r="I116" i="1"/>
  <c r="I146" i="1"/>
  <c r="I190" i="1"/>
  <c r="I186" i="1"/>
  <c r="I202" i="1"/>
  <c r="I197" i="1"/>
  <c r="I195" i="1"/>
  <c r="I161" i="1"/>
  <c r="I135" i="1"/>
  <c r="I152" i="1"/>
  <c r="I155" i="1"/>
  <c r="I154" i="1"/>
  <c r="I102" i="1"/>
  <c r="I106" i="1"/>
  <c r="I110" i="1"/>
  <c r="I103" i="1"/>
  <c r="I109" i="1"/>
  <c r="I136" i="1"/>
  <c r="I193" i="1"/>
  <c r="I194" i="1"/>
  <c r="I211" i="1"/>
  <c r="I214" i="1"/>
  <c r="I176" i="1"/>
  <c r="I175" i="1"/>
  <c r="I226" i="1"/>
  <c r="I140" i="1"/>
  <c r="I81" i="1"/>
  <c r="I210" i="1"/>
  <c r="I130" i="1"/>
  <c r="I179" i="1"/>
  <c r="I173" i="1"/>
  <c r="I227" i="1"/>
  <c r="I160" i="1"/>
  <c r="I138" i="1"/>
  <c r="I129" i="1"/>
  <c r="I143" i="1"/>
  <c r="I96" i="1"/>
  <c r="I82" i="1"/>
  <c r="I180" i="1"/>
  <c r="I90" i="1"/>
  <c r="I171" i="1"/>
  <c r="I70" i="1"/>
  <c r="I72" i="1"/>
  <c r="I79" i="1"/>
  <c r="I93" i="1"/>
  <c r="I97" i="1"/>
  <c r="I111" i="1"/>
  <c r="I163" i="1"/>
  <c r="I123" i="1"/>
  <c r="I141" i="1"/>
  <c r="I147" i="1"/>
  <c r="I167" i="1"/>
  <c r="I177" i="1"/>
  <c r="I192" i="1"/>
  <c r="I185" i="1"/>
  <c r="I88" i="1"/>
  <c r="I204" i="1"/>
  <c r="I122" i="1"/>
  <c r="J230" i="1"/>
  <c r="I114" i="1"/>
  <c r="I76" i="1"/>
  <c r="I77" i="1"/>
  <c r="I126" i="1"/>
  <c r="I118" i="1"/>
  <c r="I117" i="1"/>
  <c r="I128" i="1"/>
  <c r="I83" i="1"/>
  <c r="I212" i="1"/>
  <c r="I218" i="1"/>
  <c r="I169" i="1"/>
  <c r="I137" i="1"/>
  <c r="I207" i="1"/>
  <c r="I188" i="1"/>
  <c r="I105" i="1"/>
  <c r="I228" i="1"/>
  <c r="I153" i="1"/>
  <c r="I100" i="1"/>
  <c r="I108" i="1"/>
  <c r="I101" i="1"/>
  <c r="I187" i="1"/>
  <c r="I213" i="1"/>
  <c r="I174" i="1"/>
  <c r="I203" i="1"/>
  <c r="I225" i="1"/>
  <c r="I224" i="1"/>
  <c r="I201" i="1"/>
  <c r="I74" i="1"/>
  <c r="I184" i="1"/>
  <c r="I84" i="1"/>
  <c r="I69" i="1"/>
  <c r="I71" i="1"/>
  <c r="I78" i="1"/>
  <c r="I86" i="1"/>
  <c r="I95" i="1"/>
  <c r="I99" i="1"/>
  <c r="I121" i="1"/>
  <c r="I165" i="1"/>
  <c r="I125" i="1"/>
  <c r="I145" i="1"/>
  <c r="I159" i="1"/>
  <c r="I168" i="1"/>
  <c r="I198" i="1"/>
  <c r="I205" i="1"/>
  <c r="I91" i="1"/>
  <c r="L230" i="1" l="1"/>
  <c r="C228" i="1"/>
  <c r="C238" i="1" s="1"/>
  <c r="C230" i="1" l="1"/>
  <c r="C236" i="1"/>
  <c r="C232" i="1" s="1"/>
</calcChain>
</file>

<file path=xl/sharedStrings.xml><?xml version="1.0" encoding="utf-8"?>
<sst xmlns="http://schemas.openxmlformats.org/spreadsheetml/2006/main" count="388" uniqueCount="319">
  <si>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</si>
  <si>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</si>
  <si>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</si>
  <si>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000 1 17 00000 00 0000 000</t>
  </si>
  <si>
    <t xml:space="preserve">БЕЗВОЗМЕЗДНЫЕ ПОСТУПЛЕНИЯ </t>
  </si>
  <si>
    <t>ПРОЧИЕ НЕНАЛОГОВЫЕ ДОХОДЫ</t>
  </si>
  <si>
    <t>ВСЕГО ДОХОДОВ</t>
  </si>
  <si>
    <t>РАСХОДЫ</t>
  </si>
  <si>
    <t xml:space="preserve">ЖИЛИЩНО-КОММУНАЛЬНОЕ ХОЗЯЙСТВО </t>
  </si>
  <si>
    <t xml:space="preserve"> </t>
  </si>
  <si>
    <t>Процент исполнения годового плана</t>
  </si>
  <si>
    <t>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</si>
  <si>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</si>
  <si>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</si>
  <si>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</si>
  <si>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Земельный налог</t>
  </si>
  <si>
    <t>НЕНАЛОГОВЫЕ ДОХОДЫ</t>
  </si>
  <si>
    <t>Код</t>
  </si>
  <si>
    <t>Отклонение от годового плана</t>
  </si>
  <si>
    <t>Наименование</t>
  </si>
  <si>
    <t>0100</t>
  </si>
  <si>
    <t>0500</t>
  </si>
  <si>
    <t>Резервные фонды</t>
  </si>
  <si>
    <t>0400</t>
  </si>
  <si>
    <t>ОБЩЕГОСУДАРСТВЕННЫЕ ВОПРОСЫ</t>
  </si>
  <si>
    <t>НАЦИОНАЛЬНАЯ ЭКОНОМИКА</t>
  </si>
  <si>
    <t>в том числе:</t>
  </si>
  <si>
    <t>000 1 00 00000 00 0000 000</t>
  </si>
  <si>
    <t>000 1 01 00000 00 0000 000</t>
  </si>
  <si>
    <t>НАЛОГИ НА ПРИБЫЛЬ, ДОХОДЫ</t>
  </si>
  <si>
    <t>182 1 01 02000 01 0000 110</t>
  </si>
  <si>
    <t>182 1 05 03000 01 0000 110</t>
  </si>
  <si>
    <t>182 1 06 06000 00 0000 110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</si>
  <si>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</si>
  <si>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</si>
  <si>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</si>
  <si>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000 1 14 00000 00 0000 000</t>
  </si>
  <si>
    <t>000 1 11 00000 00 0000 000</t>
  </si>
  <si>
    <t>000 2 00 00000 00 0000 000</t>
  </si>
  <si>
    <t>Доходы,  получаемые  в  виде  арендной  платы  за земельные участки, государственная  собственность на которые не разграничена и которые  расположены в границах поселений, а также средства от продажи права на заключение  договоров  аренды  указанных земельных участков</t>
  </si>
  <si>
    <t>Доходы    от    продажи    земельных    участков, государственная  собственность  на   которые   не разграничена и  которые  расположены  в  границах поселений</t>
  </si>
  <si>
    <t>0503</t>
  </si>
  <si>
    <t>Благоустройство</t>
  </si>
  <si>
    <t>0707</t>
  </si>
  <si>
    <t>0102</t>
  </si>
  <si>
    <t>0103</t>
  </si>
  <si>
    <t>0408</t>
  </si>
  <si>
    <t>Невыясненные поступления, зачисляемые в бюджеты поселений</t>
  </si>
  <si>
    <t>Физическая культура и спорт</t>
  </si>
  <si>
    <t>Увеличение прочих остатков денежных средств бюджета поселения</t>
  </si>
  <si>
    <t>Уменьшение прочих остатков денежных средств бюджета поселения</t>
  </si>
  <si>
    <t>Молодежная политика и оздоровление детей</t>
  </si>
  <si>
    <t>Функционирование высшего должностного лица субъекта Российской Федерации и муниципального образования</t>
  </si>
  <si>
    <t>Всего расходов</t>
  </si>
  <si>
    <t>0501</t>
  </si>
  <si>
    <t>0505</t>
  </si>
  <si>
    <t>Другие вопросы в области жилищно-коммунального хозяйства</t>
  </si>
  <si>
    <t>0800</t>
  </si>
  <si>
    <t>Культура</t>
  </si>
  <si>
    <t>0801</t>
  </si>
  <si>
    <t>1001</t>
  </si>
  <si>
    <t>Пенсионное обеспечение</t>
  </si>
  <si>
    <t>ПРОФИЦИТ БЮДЖЕТА (со знаком плюс)</t>
  </si>
  <si>
    <t>ДЕФИЦИТ БЮДЖЕТА (со знаком минус)</t>
  </si>
  <si>
    <t>ИСТОЧНИКИ ВНУТРЕННЕГО ФИНАНСИРОВАНИЯ ДЕФИЦИТА БЮДЖЕТА</t>
  </si>
  <si>
    <t>2</t>
  </si>
  <si>
    <t>Жилищное хозяйство</t>
  </si>
  <si>
    <t>0111</t>
  </si>
  <si>
    <t xml:space="preserve">- капитальный ремонт жилого фонда за счет средств поступающих за наем муниципальных жилых помещений     </t>
  </si>
  <si>
    <t>1301</t>
  </si>
  <si>
    <t>0113</t>
  </si>
  <si>
    <t>1101</t>
  </si>
  <si>
    <t>182 1 05 03010 01 0000 110</t>
  </si>
  <si>
    <t>Прочие поступления  от  использования  имущества, находящегося  в   собственности  поселений  (за исключением  имущества  муниципальных  бюджетных и автономных учреждений,  а  также   имущества   муниципальных унитарных предприятий, в том числе казенных)</t>
  </si>
  <si>
    <t>01 02 00 00 10 0000 710</t>
  </si>
  <si>
    <t>Получение кредитов от кредитных организаций бюджетом поселения в валюте Российской Федерации</t>
  </si>
  <si>
    <t>01 02 00 00 10 0000 810</t>
  </si>
  <si>
    <t>Погашение бюджетом поселения кредитов от кредитных организаций в валюте Российской Федерации</t>
  </si>
  <si>
    <t>01 02 00 00 00 0000 000</t>
  </si>
  <si>
    <t>Кредиты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</si>
  <si>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</si>
  <si>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бюджета</t>
  </si>
  <si>
    <t xml:space="preserve"> 01 05 02 01 10 0000 510</t>
  </si>
  <si>
    <t xml:space="preserve"> 01 05 02 01 10 0000 610</t>
  </si>
  <si>
    <t>000 1 05 00000 00 0000 000</t>
  </si>
  <si>
    <t>000 1 06 00000 00 0000 000</t>
  </si>
  <si>
    <t>0300</t>
  </si>
  <si>
    <t>НАЦИОНАЛЬНАЯ БЕЗОПАСНОСТЬ И ПРАВООХРАНИТЕЛЬНАЯ ДЕЯТЕЛЬНОСТЬ</t>
  </si>
  <si>
    <t>Транспорт</t>
  </si>
  <si>
    <t>0409</t>
  </si>
  <si>
    <t>Дорожное хозяйство (дорожные фонды)</t>
  </si>
  <si>
    <t>- бюджетные инвестиции в объекты капитального строительства собственности муниципальных образований</t>
  </si>
  <si>
    <t>- уличное освещение</t>
  </si>
  <si>
    <t>- субсидии бюджетным учреждениям на финансовое обеспечение муниципального задания на оказание муниципальных услуг (выполнение работ)</t>
  </si>
  <si>
    <t>- субсидии бюджетным учреждениям на иные цели</t>
  </si>
  <si>
    <t>- заработная плата с начислениями на оплату труда</t>
  </si>
  <si>
    <t>Культура, кинематография</t>
  </si>
  <si>
    <t>- увеличение стоимости основных средств</t>
  </si>
  <si>
    <t xml:space="preserve">- коммунальные услуги </t>
  </si>
  <si>
    <t>1000</t>
  </si>
  <si>
    <t>Социальная политика</t>
  </si>
  <si>
    <t>1100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</si>
  <si>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</si>
  <si>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</si>
  <si>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- реализация долгосрочных целевых программ</t>
  </si>
  <si>
    <t>Защита населения и территории от чрезвычайных ситуаций природного и техногенного характера, гражданская оборона</t>
  </si>
  <si>
    <t>Образование</t>
  </si>
  <si>
    <t>0700</t>
  </si>
  <si>
    <t>- субсидия на возмещение недополученных доходов в связи с применением регулируемых тарифов на пассажирские перевозки, осуществляемые горэлектротранспортом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</si>
  <si>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 также   имущества   муниципальных унитарных предприятий, в том числе казенных), в части реализации основных средств по указанному имуществу</t>
  </si>
  <si>
    <t>Субсидии бюджетам Российской Федерации и муниципальных образований (межбюджетные субсидии)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</si>
  <si>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</si>
  <si>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</si>
  <si>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</si>
  <si>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тыс.рублей</t>
  </si>
  <si>
    <t>182 1 01 02010 01 0000 110</t>
  </si>
  <si>
    <t>- 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</si>
  <si>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- субсидия на капитальный ремонт и ремонт автомобильных дорог общего пользования населенных пунктов за счет средств областного дорожного фонда</t>
  </si>
  <si>
    <t>Из них по разделу 0100</t>
  </si>
  <si>
    <t>Из них по разделу 0300</t>
  </si>
  <si>
    <t>Из них по разделу 0400</t>
  </si>
  <si>
    <t>Из них по разделу 0500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</si>
  <si>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</si>
  <si>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Другие вопросы в области национальной экономики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</si>
  <si>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.9"/>
        <color indexed="8"/>
        <rFont val="Arial Narrow"/>
        <family val="2"/>
        <charset val="204"/>
      </rPr>
      <t>1</t>
    </r>
    <r>
      <rPr>
        <sz val="9"/>
        <color indexed="8"/>
        <rFont val="Arial Narrow"/>
        <family val="2"/>
        <charset val="204"/>
      </rPr>
      <t xml:space="preserve"> и 228 Налогового кодекса Российской Федерации</t>
    </r>
  </si>
  <si>
    <t>000 1 16 00000 00 0000 000</t>
  </si>
  <si>
    <t>ШТРАФЫ, САНКЦИИ, ВОЗМЕЩЕНИЕ УЩЕРБА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</si>
  <si>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</si>
  <si>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- межбюджетные трансферты на осуществление переданных полномочий по решению вопросов местного значения поселений в части исполнения бюджета МО г.Энгельс</t>
  </si>
  <si>
    <t>- межбюджетные трансферты ЭМР</t>
  </si>
  <si>
    <t>Доходы от сдачи в аренду имущества, составляющего казну поселений (за исключением земельных участков)</t>
  </si>
  <si>
    <t>0104</t>
  </si>
  <si>
    <t>0309</t>
  </si>
  <si>
    <t>в т.ч.:</t>
  </si>
  <si>
    <t xml:space="preserve">- межбюджетные трансферты на обеспечение деятельности аварийно-спасательного формирования - муниципального учреждения "Энгельс-Спас" </t>
  </si>
  <si>
    <t>0412</t>
  </si>
  <si>
    <t xml:space="preserve">- межбюджетные трансферты на осуществление переданных полномочий по решению вопросов местного значения поселений по земельному контролю </t>
  </si>
  <si>
    <t>- реализация программ</t>
  </si>
  <si>
    <t>0502</t>
  </si>
  <si>
    <t>Коммунальное хозяйство</t>
  </si>
  <si>
    <t>1403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</si>
  <si>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</si>
  <si>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</si>
  <si>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000 1 03 00000 00 0000 000</t>
  </si>
  <si>
    <t>Денежные взыскания (штрафы) установленные законами субъектов Российской Федерации за несоблюдение муниципальных правовых актов, зачисляемых в бюджеты поселений</t>
  </si>
  <si>
    <t>119 1 17 01050 10 0000 180</t>
  </si>
  <si>
    <t>НАЛОГОВЫЕ И НЕНАЛОГОВЫЕ ДОХОДЫ</t>
  </si>
  <si>
    <t>Налоги на товары (работы, услуги), реализуемые на территории Российской Федерации</t>
  </si>
  <si>
    <t>Акцизы по подакцизным товарам  (продукции), производимым на территории Российской Федерации</t>
  </si>
  <si>
    <t>134 1 11 05075 13 0000 120</t>
  </si>
  <si>
    <t>119 1 11 07015 13 0000 120</t>
  </si>
  <si>
    <t>134 1 14 02053 13 0000 410</t>
  </si>
  <si>
    <t>104 1 14 06025 13 0000 430</t>
  </si>
  <si>
    <t>- оплата налога на имущество и транспортного налога</t>
  </si>
  <si>
    <t xml:space="preserve">- прочие расходы </t>
  </si>
  <si>
    <t xml:space="preserve"> - оплата услуг связи</t>
  </si>
  <si>
    <t>- оплата услуг связи</t>
  </si>
  <si>
    <t>- проведение мероприятий в области молодежной политики и обеспечение деятельности учреждений</t>
  </si>
  <si>
    <t>- проведение мероприятий в области культуры учреждениями соц. Сферы и обеспечение деятельности учреждений</t>
  </si>
  <si>
    <t>- ежемесячные взносы на кап.ремонт жил.фонда</t>
  </si>
  <si>
    <t>в т.ч. МБТ на организацию похоронного дела</t>
  </si>
  <si>
    <t>Содержание МБУ</t>
  </si>
  <si>
    <t>Земельный налог с организаций</t>
  </si>
  <si>
    <t>Земельный налог с физических лиц</t>
  </si>
  <si>
    <t>100 1 03 02000 01 0000 110</t>
  </si>
  <si>
    <t>182 1 06 01030 13 0000 110</t>
  </si>
  <si>
    <t>182 1 06 06033 13 0000 110</t>
  </si>
  <si>
    <t>182 1 06 06043 13 0000 110</t>
  </si>
  <si>
    <t>Дотации бюджетам бюджетной системы Российской Федерации</t>
  </si>
  <si>
    <t xml:space="preserve">Дотации бюджетам городских поселений на выравнивание бюджетной обеспеченности </t>
  </si>
  <si>
    <t>В том числе:</t>
  </si>
  <si>
    <t>Погашение кредиторской задолженности за 2014 год (ВЦП "Дорожная деятельность...")</t>
  </si>
  <si>
    <t>000 1 11 09045 13 0000 120</t>
  </si>
  <si>
    <t>Межбюджетные трансферты</t>
  </si>
  <si>
    <t>мероприятия по землеустройству и землепользованию</t>
  </si>
  <si>
    <t>Физическая культура</t>
  </si>
  <si>
    <t>000 1 13 02000 00 0000 130</t>
  </si>
  <si>
    <t>- содержание автомобильных дорог общего пользования (в т.ч. ВЦП)</t>
  </si>
  <si>
    <t>Оплата судебных издержек</t>
  </si>
  <si>
    <t>- капитальный ремонт жилого фонда за счет средств  бюджета</t>
  </si>
  <si>
    <t>- межбюджетные трансферты на осуществление переданных полномочий по решению вопросов местного значения поселений (архитектура, ГО и ЧС)</t>
  </si>
  <si>
    <t>-субсидии бюджетным учреждениям на иные цели.</t>
  </si>
  <si>
    <t>ДОХОДЫ ОТ КОМПЕНСАЦИИ ЗАТРАТ ГОСУДАРСТВА</t>
  </si>
  <si>
    <t>5200000000</t>
  </si>
  <si>
    <t>Субсидия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 за счет средств областного дорожного фонда</t>
  </si>
  <si>
    <t>134 1 14 06000 13 0000 430</t>
  </si>
  <si>
    <t>Прочие межбюджетные трансферты общего характера, передаваемые бюджетам городских поселений из бюджета Энгельсского муниципального района</t>
  </si>
  <si>
    <t>Субсидия бюджетам городских поселений на поддержку государственных программ субьектов Российской Федерации и муниципальных программ формирования современной городской среды</t>
  </si>
  <si>
    <t>2630006900</t>
  </si>
  <si>
    <t>Расходы на выплату возмещения собственникам жилых помещений, изымаемых в целях сноса аварийного жилого фонда</t>
  </si>
  <si>
    <t>Прочие поступления от денежных взысканий (штрафов) и иных сумм в возмещение ущерба, зачисляемые в бюджеты городских поселенийгородских поселений</t>
  </si>
  <si>
    <t>000 1 16 900050 13 0000 140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</si>
  <si>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</si>
  <si>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000 1 16 33050 13 0000 140</t>
  </si>
  <si>
    <t>6900103500            6900103700</t>
  </si>
  <si>
    <t>6900103400</t>
  </si>
  <si>
    <t>73002Z0000                    100</t>
  </si>
  <si>
    <t xml:space="preserve"> 4700000000</t>
  </si>
  <si>
    <t>730031200</t>
  </si>
  <si>
    <t>7100405400               7100411800</t>
  </si>
  <si>
    <t>000 2 02 04000 00 0000 150</t>
  </si>
  <si>
    <t>119 2 02 25555 13 0000 150</t>
  </si>
  <si>
    <t>119 2 02 01001 13 0000 150</t>
  </si>
  <si>
    <t>000 2 02 01000 00 0000 150</t>
  </si>
  <si>
    <t>Прочие безвозмездные поступления в бюджеты городских поселений</t>
  </si>
  <si>
    <t xml:space="preserve">Прочие безвозмездные поступления </t>
  </si>
  <si>
    <t>000 2 07 00000 00 0000 000</t>
  </si>
  <si>
    <t>119 2 07 05030 13 0073 150</t>
  </si>
  <si>
    <t>119 2 02 29999 13 0080 150</t>
  </si>
  <si>
    <t>000 2 02 20000 00 0000 150</t>
  </si>
  <si>
    <t>119 2 02 25021 13 0000 150</t>
  </si>
  <si>
    <t>Субсидии бюджетам городских поселений на мероприятия по стимулированию программ развития жилищного строительства субъектов Российской Федерации</t>
  </si>
  <si>
    <t>119 2 02 29999 13 0075 150</t>
  </si>
  <si>
    <t>Субсидии бюджетам городских поселений области на обеспечение повышения оплаты труда некоторых категорий работников мунциипальных учреждений</t>
  </si>
  <si>
    <t>6800000000</t>
  </si>
  <si>
    <t>420000000</t>
  </si>
  <si>
    <t>- обеспечение первичных мер пожарной безопасности в границах населенных пунктов в рамках МП</t>
  </si>
  <si>
    <t>- озеленение и прочие мероприятия по благоустройству  общественных территорий</t>
  </si>
  <si>
    <t>1105</t>
  </si>
  <si>
    <t>Другие вопросы в области физической культуры и спорта</t>
  </si>
  <si>
    <t>1004</t>
  </si>
  <si>
    <t>Охрана семьи и детства</t>
  </si>
  <si>
    <t>46000000,710F150210</t>
  </si>
  <si>
    <t xml:space="preserve"> - строительство, реконструкция,кап.ремонти ремонт автомобильных дорог общего пользования за счет средств областного дорожного фонда</t>
  </si>
  <si>
    <t>- строительство, реконструкция,кап.ремонт и ремонт автомобильных дорог общего пользования</t>
  </si>
  <si>
    <t>7300201500            7300207700                                5900207700</t>
  </si>
  <si>
    <t>- содержание, экспертиза и оценка жил.помещений</t>
  </si>
  <si>
    <t>119 2 02 29999 13 0073 150</t>
  </si>
  <si>
    <t>Субсидии бюджетам городских поселений области на реализацию проектов развития муниципальных образований области, основанных на местных инициативах</t>
  </si>
  <si>
    <t>000 2 18 05000 00 0000 180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</si>
  <si>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</si>
  <si>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123 1 11 05013 13 0000 120</t>
  </si>
  <si>
    <t>123 1 11 05025 13 0000 120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</si>
  <si>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автономных учреждений, а также земельных участков муниципальных унитарных предприятий, в том числе казенных)</t>
  </si>
  <si>
    <t>План 9 месяцев на 01.10.2019 г.</t>
  </si>
  <si>
    <t>Иные межбюджетные трансферты бюджетам муниципальных районов, городских округов и поселений области в целях обеспечения надлежащего осуществления полномочий по решению вопросов местного значения</t>
  </si>
  <si>
    <t>119 2 02 49999 13 0013 150</t>
  </si>
  <si>
    <t>119 20 7 05030 13 0000 150</t>
  </si>
  <si>
    <t>2630003300</t>
  </si>
  <si>
    <t>- расходы на подготовку и проведение выборов в органы местного самоуправления</t>
  </si>
  <si>
    <t>73002Z0000                                        104,100</t>
  </si>
  <si>
    <t>8300000000</t>
  </si>
  <si>
    <t>ВЦП"Устройство детских игровых площадок на территории муниципального образования город Энгельс Энгельсского муниципального района Саратовской области в 2018-2020 годах"</t>
  </si>
  <si>
    <t>Выполнение работ по рекультивации земель городского поселения</t>
  </si>
  <si>
    <t>7100700000</t>
  </si>
  <si>
    <t>- МП "Формирование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на 2018-2022 годы" (ремонт дворовых и общественных территорий)</t>
  </si>
  <si>
    <t>Расходы на обеспечение деятельности МКУ "Городское хозяйство":</t>
  </si>
  <si>
    <t>0407</t>
  </si>
  <si>
    <t>Лесное хозяйство</t>
  </si>
  <si>
    <t>- коммунальные услуги</t>
  </si>
  <si>
    <t>- прочие расходы</t>
  </si>
  <si>
    <t xml:space="preserve"> - заработная плата с начислениями на оплату труда</t>
  </si>
  <si>
    <t>0709</t>
  </si>
  <si>
    <t>Другие вопросы в области образования</t>
  </si>
  <si>
    <t>МБТ ГО и ЧС</t>
  </si>
  <si>
    <t>001,002</t>
  </si>
  <si>
    <t>011</t>
  </si>
  <si>
    <t>003</t>
  </si>
  <si>
    <t>007,008</t>
  </si>
  <si>
    <t xml:space="preserve">                              4700000000</t>
  </si>
  <si>
    <t>- организация и содержание мест захоронения, в т.ч.погашение кред.задолж.</t>
  </si>
  <si>
    <t>- предотвращения рисков возникновения ЧС  (в рамках ВЦП) в т.ч.погашение кред.задолж.</t>
  </si>
  <si>
    <t>000 1 13 01990 00 0000 130</t>
  </si>
  <si>
    <t xml:space="preserve">ДОХОДЫ ОТ ОКАЗАНИЯ ПЛАТНЫХ УСЛУГ </t>
  </si>
  <si>
    <t>000 1 16 00000 00 0000 140</t>
  </si>
  <si>
    <t>119 2 02 49999 13 0001 150</t>
  </si>
  <si>
    <t>119 2 02 49999 13 0002 150</t>
  </si>
  <si>
    <t>119 2 02 45390 13 0000 150</t>
  </si>
  <si>
    <t xml:space="preserve">
</t>
  </si>
  <si>
    <t>Межбюджетные трансферты, передаваемые бюджетам городских поселений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</si>
  <si>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городских поселений из бюджета Энгельсского муниципального района, за счет средств субсидии из областного бюджета бюджетам муниципальных районов и городских округов области на обеспечение расходных обязательств, связанных с повышением оплаты труда отдельным категориям работников бюджетной сферы в целях реализации Указов Президента Российской Федерации от 7 мая 2012 года № 597 "О мероприятиях по реализации государственной социальной политики" и от 1 июня 2012 года № 761 "О Национальной стратегии действий в интересах детей на 2012-2017 годы" в рамках реализации государственной программы Саратовской области "Развитие государственного и муниципального управления до 2020 года" и условиях ее расходования</t>
  </si>
  <si>
    <t>- прочие расходы , из них:</t>
  </si>
  <si>
    <t>Укрепление и развитие материально-технической базы в рамках МП «Молодёжь муниципального образования город Энгельс Энгельсского муниципального района Саратовской области» (строительство универсальной спортивной площадки)</t>
  </si>
  <si>
    <t xml:space="preserve">Ведомственная целевая программа "Развитие физической культуры и спорта на территории муниципального образования город Энгельс Энгельсского муниципального района Саратовской области" </t>
  </si>
  <si>
    <t>-Расходы на прочие закупки товаров, работ и услуг</t>
  </si>
  <si>
    <t>414</t>
  </si>
  <si>
    <t>Организация и проведение физкультурно-оздоровительных и спортивно-массовых мероприятий</t>
  </si>
  <si>
    <t>Укрепление и развитие материально-технической базы</t>
  </si>
  <si>
    <t xml:space="preserve">Обеспечение первичных мер пожарной безопасности </t>
  </si>
  <si>
    <t>Организация и проведение мероприятий по популяризации народного творчества и культурно-досуговой деятельности</t>
  </si>
  <si>
    <t>Укрепление и развитие материально-технической базы муниципальных организаций культуры</t>
  </si>
  <si>
    <t>- заработная плата с начислениями на оплату труда (МБУ "Энгельсская молодежь"</t>
  </si>
  <si>
    <t>- заработная плата с начислениями на оплату труда (оплата труда несовешеннолетним)</t>
  </si>
  <si>
    <t>Проведение мероприятий для детей и молодежи</t>
  </si>
  <si>
    <t>Обеспечение первичных мер пожарной безопасности</t>
  </si>
  <si>
    <t xml:space="preserve">Первоначальный  годовой план 
</t>
  </si>
  <si>
    <t xml:space="preserve">Уточненный  годовой план </t>
  </si>
  <si>
    <t>Процент исполнения плана 1 квартала</t>
  </si>
  <si>
    <t>4</t>
  </si>
  <si>
    <t>5</t>
  </si>
  <si>
    <t>6</t>
  </si>
  <si>
    <t>7</t>
  </si>
  <si>
    <t>10</t>
  </si>
  <si>
    <t>12</t>
  </si>
  <si>
    <t>Уд. вес
в 2020 г.</t>
  </si>
  <si>
    <t>71009Z0000; 46000000</t>
  </si>
  <si>
    <t>- ремонт дворовых и общественных территорий (в рамках МП "Современная городская среда")</t>
  </si>
  <si>
    <t>7100300000;          7101101500</t>
  </si>
  <si>
    <t>119 2 18 60010 13 0000 150</t>
  </si>
  <si>
    <t>Доходы бюджетов городских поселений от возврата  субсидий прошлых лет</t>
  </si>
  <si>
    <t>73001Z0000            73004Z0000 2630002100</t>
  </si>
  <si>
    <t>134 1 14 06300 13 0000 430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</si>
  <si>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</si>
  <si>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Анализ исполнения  бюджета муниципального образования город Энгельс за  за 9 месяцев 2020 года</t>
  </si>
  <si>
    <t>План 9 месяцев на 01.10.2020 г.</t>
  </si>
  <si>
    <t>Фактическое
исполнение
на 01.10.2019 г.</t>
  </si>
  <si>
    <t>Процент исполнения плана 9 месяцев</t>
  </si>
  <si>
    <t>Сравнение исполнения на 01.10.2019 и 2020 гг.      (гр.7-гр.6)</t>
  </si>
  <si>
    <t>119 2 02 49999 13 0000 150</t>
  </si>
  <si>
    <t>119 2 18 05010 13 0000 180</t>
  </si>
  <si>
    <t>Доходы бюджетов городских поселений от возврата  бюджетными учреждениями остатков субсидий прошлых лет</t>
  </si>
  <si>
    <t>119 2 02 29999 13 0092 150</t>
  </si>
  <si>
    <t>Субсидия бюджетам городских поселений области надостижение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городских поселений области за счет средств областного дорожного фонда</t>
  </si>
  <si>
    <t>119 2 02 49999 13 0006 150</t>
  </si>
  <si>
    <t>Межбюджетные трансферты, передаваемые бюджетам городских поселений области за счет средств резервного фонда Правительства Саратовской области</t>
  </si>
  <si>
    <t>прочие неналоговые доходы бюджетов городских поселений</t>
  </si>
  <si>
    <t>102 1 17 05050 13 0000 180</t>
  </si>
  <si>
    <t>Фактическое
исполнение
на 01.10.2020 г.</t>
  </si>
  <si>
    <t>- прочие расходы, из них: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</si>
</sst>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0.0"/>
    <numFmt numFmtId="165" formatCode="0.0%"/>
    <numFmt numFmtId="166" formatCode="_-* #,##0.0_р_._-;\-* #,##0.0_р_._-;_-* &quot;-&quot;??_р_._-;_-@_-"/>
    <numFmt numFmtId="167" formatCode="#,##0.0"/>
    <numFmt numFmtId="168" formatCode="\+#,##0.0;\-#,##0.0"/>
    <numFmt numFmtId="169" formatCode="#,##0.00;[Red]\-#,##0.00;0.00"/>
    <numFmt numFmtId="170" formatCode="#,##0.00\ &quot;₽&quot;"/>
  </numFmts>
  <fonts count="24" x14ac:knownFonts="1">
    <font>
      <sz val="10"/>
      <name val="Arial Cyr"/>
      <charset val="204"/>
    </font>
    <font>
      <sz val="10"/>
      <name val="Arial Cyr"/>
      <charset val="204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b/>
      <sz val="11"/>
      <name val="Arial Narrow"/>
      <family val="2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04"/>
    </font>
    <font>
      <sz val="7"/>
      <name val="Arial Narrow"/>
      <family val="2"/>
      <charset val="204"/>
    </font>
    <font>
      <b/>
      <sz val="11"/>
      <name val="Arial Narrow"/>
      <family val="2"/>
      <charset val="204"/>
    </font>
    <font>
      <vertAlign val="superscript"/>
      <sz val="9.9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9"/>
      <name val="Arial Narrow"/>
      <family val="2"/>
      <charset val="204"/>
    </font>
    <font>
      <i/>
      <sz val="9"/>
      <name val="Arial Narrow"/>
      <family val="2"/>
      <charset val="204"/>
    </font>
    <font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B7F9C2"/>
        <bgColor indexed="64"/>
      </patternFill>
    </fill>
    <fill>
      <patternFill patternType="solid">
        <fgColor rgb="FFB7F8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C2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167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left" vertical="justify" wrapText="1"/>
    </xf>
    <xf numFmtId="168" fontId="4" fillId="0" borderId="0" xfId="0" applyNumberFormat="1" applyFont="1" applyFill="1" applyBorder="1" applyAlignment="1">
      <alignment horizontal="left" vertical="justify" wrapText="1"/>
    </xf>
    <xf numFmtId="168" fontId="13" fillId="0" borderId="0" xfId="0" applyNumberFormat="1" applyFont="1" applyFill="1" applyBorder="1" applyAlignment="1">
      <alignment horizontal="left" vertical="justify" wrapText="1"/>
    </xf>
    <xf numFmtId="168" fontId="9" fillId="0" borderId="0" xfId="0" applyNumberFormat="1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vertical="center"/>
    </xf>
    <xf numFmtId="167" fontId="11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justify" vertical="center"/>
    </xf>
    <xf numFmtId="49" fontId="7" fillId="0" borderId="1" xfId="0" applyNumberFormat="1" applyFont="1" applyFill="1" applyBorder="1" applyAlignment="1">
      <alignment horizontal="justify" vertical="center"/>
    </xf>
    <xf numFmtId="167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16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left" vertical="top" wrapText="1"/>
      <protection locked="0"/>
    </xf>
    <xf numFmtId="16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>
      <alignment horizontal="justify" vertical="center"/>
    </xf>
    <xf numFmtId="167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justify" vertical="center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justify" vertical="center"/>
    </xf>
    <xf numFmtId="167" fontId="14" fillId="0" borderId="0" xfId="0" applyNumberFormat="1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right" vertical="center" wrapText="1"/>
    </xf>
    <xf numFmtId="165" fontId="8" fillId="2" borderId="1" xfId="3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0" fontId="8" fillId="2" borderId="1" xfId="0" applyNumberFormat="1" applyFont="1" applyFill="1" applyBorder="1" applyAlignment="1">
      <alignment horizontal="justify" vertical="center"/>
    </xf>
    <xf numFmtId="49" fontId="8" fillId="2" borderId="1" xfId="0" applyNumberFormat="1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justify" vertical="center"/>
    </xf>
    <xf numFmtId="165" fontId="3" fillId="2" borderId="1" xfId="3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49" fontId="7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justify" vertical="center"/>
    </xf>
    <xf numFmtId="167" fontId="3" fillId="4" borderId="1" xfId="0" applyNumberFormat="1" applyFont="1" applyFill="1" applyBorder="1" applyAlignment="1">
      <alignment horizontal="right" vertical="center"/>
    </xf>
    <xf numFmtId="167" fontId="3" fillId="4" borderId="1" xfId="0" applyNumberFormat="1" applyFont="1" applyFill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justify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justify" vertical="center"/>
    </xf>
    <xf numFmtId="167" fontId="3" fillId="5" borderId="1" xfId="0" applyNumberFormat="1" applyFont="1" applyFill="1" applyBorder="1" applyAlignment="1">
      <alignment horizontal="right" vertical="center"/>
    </xf>
    <xf numFmtId="167" fontId="11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right" vertical="center" wrapText="1"/>
    </xf>
    <xf numFmtId="167" fontId="7" fillId="5" borderId="1" xfId="0" applyNumberFormat="1" applyFont="1" applyFill="1" applyBorder="1" applyAlignment="1">
      <alignment horizontal="right" vertical="center" wrapText="1"/>
    </xf>
    <xf numFmtId="167" fontId="7" fillId="5" borderId="1" xfId="0" applyNumberFormat="1" applyFont="1" applyFill="1" applyBorder="1" applyAlignment="1">
      <alignment horizontal="right" vertical="center"/>
    </xf>
    <xf numFmtId="49" fontId="7" fillId="5" borderId="1" xfId="0" applyNumberFormat="1" applyFont="1" applyFill="1" applyBorder="1" applyAlignment="1">
      <alignment horizontal="justify" vertical="center" wrapText="1"/>
    </xf>
    <xf numFmtId="169" fontId="8" fillId="2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6" borderId="1" xfId="0" applyNumberFormat="1" applyFont="1" applyFill="1" applyBorder="1" applyAlignment="1">
      <alignment horizontal="right" vertical="center"/>
    </xf>
    <xf numFmtId="167" fontId="10" fillId="4" borderId="1" xfId="0" applyNumberFormat="1" applyFont="1" applyFill="1" applyBorder="1" applyAlignment="1" applyProtection="1">
      <alignment horizontal="right" vertical="center"/>
    </xf>
    <xf numFmtId="167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4" borderId="2" xfId="0" applyNumberFormat="1" applyFont="1" applyFill="1" applyBorder="1" applyAlignment="1" applyProtection="1">
      <alignment horizontal="right" vertical="center"/>
    </xf>
    <xf numFmtId="167" fontId="8" fillId="4" borderId="1" xfId="0" applyNumberFormat="1" applyFont="1" applyFill="1" applyBorder="1" applyAlignment="1" applyProtection="1">
      <alignment horizontal="right" vertical="center"/>
    </xf>
    <xf numFmtId="167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Fill="1" applyBorder="1" applyAlignment="1" applyProtection="1">
      <alignment horizontal="left" vertical="top" wrapText="1"/>
      <protection locked="0"/>
    </xf>
    <xf numFmtId="167" fontId="2" fillId="4" borderId="1" xfId="0" applyNumberFormat="1" applyFont="1" applyFill="1" applyBorder="1" applyAlignment="1">
      <alignment horizontal="right" vertical="center"/>
    </xf>
    <xf numFmtId="167" fontId="8" fillId="4" borderId="1" xfId="0" applyNumberFormat="1" applyFont="1" applyFill="1" applyBorder="1" applyAlignment="1">
      <alignment horizontal="right" vertical="center"/>
    </xf>
    <xf numFmtId="0" fontId="8" fillId="5" borderId="1" xfId="0" applyNumberFormat="1" applyFont="1" applyFill="1" applyBorder="1" applyAlignment="1">
      <alignment horizontal="justify" vertical="center"/>
    </xf>
    <xf numFmtId="0" fontId="21" fillId="0" borderId="0" xfId="0" applyFont="1" applyFill="1" applyBorder="1" applyAlignment="1">
      <alignment vertical="center"/>
    </xf>
    <xf numFmtId="167" fontId="10" fillId="5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wrapText="1"/>
    </xf>
    <xf numFmtId="49" fontId="8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167" fontId="11" fillId="6" borderId="1" xfId="0" applyNumberFormat="1" applyFont="1" applyFill="1" applyBorder="1" applyAlignment="1" applyProtection="1">
      <alignment horizontal="right" vertical="center"/>
    </xf>
    <xf numFmtId="167" fontId="11" fillId="6" borderId="1" xfId="0" applyNumberFormat="1" applyFont="1" applyFill="1" applyBorder="1" applyAlignment="1" applyProtection="1">
      <alignment horizontal="right" vertical="center"/>
      <protection locked="0"/>
    </xf>
    <xf numFmtId="167" fontId="7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justify" vertical="center"/>
    </xf>
    <xf numFmtId="49" fontId="7" fillId="6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left" vertical="center" indent="1"/>
    </xf>
    <xf numFmtId="49" fontId="7" fillId="0" borderId="1" xfId="0" applyNumberFormat="1" applyFont="1" applyFill="1" applyBorder="1" applyAlignment="1">
      <alignment horizontal="left" vertical="center"/>
    </xf>
    <xf numFmtId="49" fontId="7" fillId="6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justify" vertical="center"/>
    </xf>
    <xf numFmtId="0" fontId="7" fillId="6" borderId="1" xfId="0" applyFont="1" applyFill="1" applyBorder="1" applyAlignment="1">
      <alignment horizontal="justify" wrapText="1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167" fontId="3" fillId="7" borderId="1" xfId="0" applyNumberFormat="1" applyFont="1" applyFill="1" applyBorder="1" applyAlignment="1">
      <alignment horizontal="right" vertical="center" wrapText="1"/>
    </xf>
    <xf numFmtId="167" fontId="3" fillId="7" borderId="1" xfId="0" applyNumberFormat="1" applyFont="1" applyFill="1" applyBorder="1" applyAlignment="1">
      <alignment horizontal="right" vertical="center"/>
    </xf>
    <xf numFmtId="167" fontId="7" fillId="7" borderId="1" xfId="0" applyNumberFormat="1" applyFont="1" applyFill="1" applyBorder="1" applyAlignment="1">
      <alignment horizontal="right" vertical="center"/>
    </xf>
    <xf numFmtId="0" fontId="3" fillId="7" borderId="0" xfId="0" applyFont="1" applyFill="1" applyBorder="1" applyAlignment="1">
      <alignment horizontal="center" vertical="center"/>
    </xf>
    <xf numFmtId="165" fontId="7" fillId="7" borderId="1" xfId="3" applyNumberFormat="1" applyFont="1" applyFill="1" applyBorder="1" applyAlignment="1">
      <alignment horizontal="right" vertical="center"/>
    </xf>
    <xf numFmtId="165" fontId="3" fillId="7" borderId="1" xfId="3" applyNumberFormat="1" applyFont="1" applyFill="1" applyBorder="1" applyAlignment="1">
      <alignment horizontal="right" vertical="center"/>
    </xf>
    <xf numFmtId="167" fontId="7" fillId="7" borderId="1" xfId="0" applyNumberFormat="1" applyFont="1" applyFill="1" applyBorder="1" applyAlignment="1">
      <alignment horizontal="right" vertical="center" wrapText="1"/>
    </xf>
    <xf numFmtId="167" fontId="8" fillId="3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5" fontId="7" fillId="0" borderId="1" xfId="3" applyNumberFormat="1" applyFont="1" applyFill="1" applyBorder="1" applyAlignment="1">
      <alignment horizontal="right" vertical="center"/>
    </xf>
    <xf numFmtId="165" fontId="2" fillId="0" borderId="1" xfId="3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167" fontId="7" fillId="6" borderId="1" xfId="0" applyNumberFormat="1" applyFont="1" applyFill="1" applyBorder="1" applyAlignment="1">
      <alignment horizontal="right" vertical="center"/>
    </xf>
    <xf numFmtId="167" fontId="3" fillId="6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165" fontId="3" fillId="6" borderId="1" xfId="3" applyNumberFormat="1" applyFont="1" applyFill="1" applyBorder="1" applyAlignment="1">
      <alignment horizontal="right" vertical="center"/>
    </xf>
    <xf numFmtId="165" fontId="3" fillId="5" borderId="1" xfId="3" applyNumberFormat="1" applyFont="1" applyFill="1" applyBorder="1" applyAlignment="1">
      <alignment horizontal="right" vertical="center"/>
    </xf>
    <xf numFmtId="167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/>
    </xf>
    <xf numFmtId="167" fontId="21" fillId="0" borderId="1" xfId="0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6" fontId="3" fillId="0" borderId="1" xfId="4" applyNumberFormat="1" applyFont="1" applyFill="1" applyBorder="1" applyAlignment="1">
      <alignment vertical="center"/>
    </xf>
    <xf numFmtId="165" fontId="3" fillId="0" borderId="1" xfId="3" applyNumberFormat="1" applyFont="1" applyFill="1" applyBorder="1" applyAlignment="1">
      <alignment horizontal="right" vertical="center"/>
    </xf>
    <xf numFmtId="167" fontId="8" fillId="8" borderId="1" xfId="0" applyNumberFormat="1" applyFont="1" applyFill="1" applyBorder="1" applyAlignment="1">
      <alignment horizontal="right" vertical="center" wrapText="1"/>
    </xf>
    <xf numFmtId="165" fontId="8" fillId="8" borderId="1" xfId="3" applyNumberFormat="1" applyFont="1" applyFill="1" applyBorder="1" applyAlignment="1">
      <alignment horizontal="right" vertical="center"/>
    </xf>
    <xf numFmtId="168" fontId="8" fillId="8" borderId="1" xfId="0" applyNumberFormat="1" applyFont="1" applyFill="1" applyBorder="1" applyAlignment="1">
      <alignment horizontal="right" vertical="center"/>
    </xf>
    <xf numFmtId="167" fontId="8" fillId="8" borderId="1" xfId="0" applyNumberFormat="1" applyFont="1" applyFill="1" applyBorder="1" applyAlignment="1">
      <alignment horizontal="right" vertical="center"/>
    </xf>
    <xf numFmtId="165" fontId="2" fillId="6" borderId="2" xfId="3" applyNumberFormat="1" applyFont="1" applyFill="1" applyBorder="1" applyAlignment="1">
      <alignment horizontal="right" vertical="center"/>
    </xf>
    <xf numFmtId="167" fontId="2" fillId="6" borderId="1" xfId="0" applyNumberFormat="1" applyFont="1" applyFill="1" applyBorder="1" applyAlignment="1">
      <alignment horizontal="right" vertical="center"/>
    </xf>
    <xf numFmtId="165" fontId="7" fillId="6" borderId="1" xfId="3" applyNumberFormat="1" applyFont="1" applyFill="1" applyBorder="1" applyAlignment="1">
      <alignment horizontal="right" vertical="center"/>
    </xf>
    <xf numFmtId="0" fontId="8" fillId="9" borderId="1" xfId="0" applyNumberFormat="1" applyFont="1" applyFill="1" applyBorder="1" applyAlignment="1">
      <alignment horizontal="justify" vertical="center" wrapText="1"/>
    </xf>
    <xf numFmtId="167" fontId="8" fillId="9" borderId="1" xfId="0" applyNumberFormat="1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 applyProtection="1">
      <alignment horizontal="left" vertical="top"/>
      <protection locked="0"/>
    </xf>
    <xf numFmtId="167" fontId="8" fillId="2" borderId="1" xfId="0" applyNumberFormat="1" applyFont="1" applyFill="1" applyBorder="1" applyAlignment="1" applyProtection="1">
      <alignment horizontal="right" vertical="center"/>
    </xf>
    <xf numFmtId="0" fontId="8" fillId="2" borderId="1" xfId="0" applyNumberFormat="1" applyFont="1" applyFill="1" applyBorder="1" applyAlignment="1">
      <alignment horizontal="justify" vertical="center" wrapText="1"/>
    </xf>
    <xf numFmtId="165" fontId="8" fillId="4" borderId="1" xfId="3" applyNumberFormat="1" applyFont="1" applyFill="1" applyBorder="1" applyAlignment="1">
      <alignment horizontal="right" vertical="center"/>
    </xf>
    <xf numFmtId="165" fontId="7" fillId="4" borderId="1" xfId="3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justify" vertical="center"/>
    </xf>
    <xf numFmtId="0" fontId="3" fillId="7" borderId="0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horizontal="justify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readingOrder="1"/>
    </xf>
    <xf numFmtId="167" fontId="2" fillId="6" borderId="1" xfId="0" applyNumberFormat="1" applyFont="1" applyFill="1" applyBorder="1" applyAlignment="1">
      <alignment horizontal="justify" vertical="center"/>
    </xf>
    <xf numFmtId="167" fontId="2" fillId="6" borderId="2" xfId="0" applyNumberFormat="1" applyFont="1" applyFill="1" applyBorder="1" applyAlignment="1">
      <alignment horizontal="right" vertical="center"/>
    </xf>
    <xf numFmtId="167" fontId="5" fillId="6" borderId="0" xfId="0" applyNumberFormat="1" applyFont="1" applyFill="1" applyBorder="1" applyAlignment="1">
      <alignment horizontal="justify" vertical="center"/>
    </xf>
    <xf numFmtId="167" fontId="7" fillId="8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1" xfId="0" applyNumberFormat="1" applyFont="1" applyFill="1" applyBorder="1" applyAlignment="1">
      <alignment horizontal="justify" vertical="center"/>
    </xf>
    <xf numFmtId="49" fontId="7" fillId="6" borderId="0" xfId="0" applyNumberFormat="1" applyFont="1" applyFill="1" applyBorder="1" applyAlignment="1">
      <alignment horizontal="justify" vertical="center" wrapText="1"/>
    </xf>
    <xf numFmtId="167" fontId="11" fillId="6" borderId="1" xfId="0" applyNumberFormat="1" applyFont="1" applyFill="1" applyBorder="1" applyAlignment="1" applyProtection="1">
      <alignment horizontal="right" vertical="center" wrapText="1"/>
      <protection locked="0"/>
    </xf>
    <xf numFmtId="169" fontId="7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1" xfId="0" applyNumberFormat="1" applyFont="1" applyFill="1" applyBorder="1" applyAlignment="1" applyProtection="1">
      <alignment horizontal="left" vertical="top" wrapText="1"/>
      <protection locked="0"/>
    </xf>
    <xf numFmtId="167" fontId="8" fillId="0" borderId="0" xfId="0" applyNumberFormat="1" applyFont="1" applyFill="1" applyBorder="1" applyAlignment="1">
      <alignment vertical="center"/>
    </xf>
    <xf numFmtId="0" fontId="17" fillId="8" borderId="1" xfId="0" applyFont="1" applyFill="1" applyBorder="1" applyAlignment="1">
      <alignment horizontal="center" vertical="center" wrapText="1"/>
    </xf>
    <xf numFmtId="168" fontId="3" fillId="8" borderId="1" xfId="0" applyNumberFormat="1" applyFont="1" applyFill="1" applyBorder="1" applyAlignment="1">
      <alignment horizontal="right" vertical="center"/>
    </xf>
    <xf numFmtId="165" fontId="3" fillId="8" borderId="1" xfId="3" applyNumberFormat="1" applyFont="1" applyFill="1" applyBorder="1" applyAlignment="1">
      <alignment horizontal="right" vertical="center"/>
    </xf>
    <xf numFmtId="167" fontId="11" fillId="8" borderId="1" xfId="0" applyNumberFormat="1" applyFont="1" applyFill="1" applyBorder="1" applyAlignment="1" applyProtection="1">
      <alignment horizontal="right" vertical="center"/>
    </xf>
    <xf numFmtId="49" fontId="17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67" fontId="10" fillId="8" borderId="1" xfId="0" applyNumberFormat="1" applyFont="1" applyFill="1" applyBorder="1" applyAlignment="1" applyProtection="1">
      <alignment horizontal="right" vertical="center"/>
    </xf>
    <xf numFmtId="168" fontId="7" fillId="8" borderId="1" xfId="0" applyNumberFormat="1" applyFont="1" applyFill="1" applyBorder="1" applyAlignment="1">
      <alignment horizontal="right" vertical="center"/>
    </xf>
    <xf numFmtId="168" fontId="2" fillId="8" borderId="1" xfId="0" applyNumberFormat="1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right" vertical="center"/>
    </xf>
    <xf numFmtId="167" fontId="3" fillId="8" borderId="1" xfId="0" applyNumberFormat="1" applyFont="1" applyFill="1" applyBorder="1" applyAlignment="1">
      <alignment horizontal="right" vertical="center"/>
    </xf>
    <xf numFmtId="165" fontId="7" fillId="8" borderId="1" xfId="3" applyNumberFormat="1" applyFont="1" applyFill="1" applyBorder="1" applyAlignment="1">
      <alignment horizontal="right" vertical="center"/>
    </xf>
    <xf numFmtId="167" fontId="7" fillId="8" borderId="1" xfId="0" applyNumberFormat="1" applyFont="1" applyFill="1" applyBorder="1" applyAlignment="1">
      <alignment horizontal="right" vertical="center"/>
    </xf>
    <xf numFmtId="168" fontId="21" fillId="8" borderId="1" xfId="0" applyNumberFormat="1" applyFont="1" applyFill="1" applyBorder="1" applyAlignment="1">
      <alignment horizontal="right" vertical="center"/>
    </xf>
    <xf numFmtId="165" fontId="2" fillId="8" borderId="2" xfId="3" applyNumberFormat="1" applyFont="1" applyFill="1" applyBorder="1" applyAlignment="1">
      <alignment horizontal="right" vertical="center"/>
    </xf>
    <xf numFmtId="168" fontId="2" fillId="8" borderId="2" xfId="0" applyNumberFormat="1" applyFont="1" applyFill="1" applyBorder="1" applyAlignment="1">
      <alignment horizontal="right" vertical="center"/>
    </xf>
    <xf numFmtId="167" fontId="2" fillId="8" borderId="2" xfId="0" applyNumberFormat="1" applyFont="1" applyFill="1" applyBorder="1" applyAlignment="1">
      <alignment horizontal="right" vertical="center"/>
    </xf>
    <xf numFmtId="165" fontId="8" fillId="8" borderId="2" xfId="3" applyNumberFormat="1" applyFont="1" applyFill="1" applyBorder="1" applyAlignment="1">
      <alignment vertical="center"/>
    </xf>
    <xf numFmtId="165" fontId="7" fillId="8" borderId="2" xfId="3" applyNumberFormat="1" applyFont="1" applyFill="1" applyBorder="1" applyAlignment="1">
      <alignment vertical="center"/>
    </xf>
    <xf numFmtId="167" fontId="8" fillId="5" borderId="1" xfId="0" applyNumberFormat="1" applyFont="1" applyFill="1" applyBorder="1" applyAlignment="1">
      <alignment horizontal="right" vertical="center"/>
    </xf>
    <xf numFmtId="165" fontId="8" fillId="5" borderId="1" xfId="3" applyNumberFormat="1" applyFont="1" applyFill="1" applyBorder="1" applyAlignment="1">
      <alignment horizontal="right" vertical="center"/>
    </xf>
    <xf numFmtId="165" fontId="7" fillId="5" borderId="1" xfId="3" applyNumberFormat="1" applyFont="1" applyFill="1" applyBorder="1" applyAlignment="1">
      <alignment horizontal="right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justify" vertical="center" wrapText="1"/>
    </xf>
    <xf numFmtId="167" fontId="2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justify" vertical="center"/>
    </xf>
    <xf numFmtId="165" fontId="21" fillId="0" borderId="1" xfId="3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justify" vertical="center" wrapText="1"/>
    </xf>
    <xf numFmtId="49" fontId="7" fillId="5" borderId="1" xfId="0" applyNumberFormat="1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justify" vertical="center"/>
    </xf>
    <xf numFmtId="167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22" fillId="6" borderId="1" xfId="0" applyNumberFormat="1" applyFont="1" applyFill="1" applyBorder="1" applyAlignment="1">
      <alignment horizontal="right" vertical="center" wrapText="1"/>
    </xf>
    <xf numFmtId="0" fontId="22" fillId="6" borderId="1" xfId="0" applyNumberFormat="1" applyFont="1" applyFill="1" applyBorder="1" applyAlignment="1">
      <alignment horizontal="right" vertical="center" wrapText="1"/>
    </xf>
    <xf numFmtId="49" fontId="22" fillId="0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justify" vertical="center"/>
    </xf>
    <xf numFmtId="4" fontId="3" fillId="6" borderId="0" xfId="0" applyNumberFormat="1" applyFont="1" applyFill="1" applyBorder="1" applyAlignment="1">
      <alignment horizontal="justify" vertical="center" wrapText="1"/>
    </xf>
    <xf numFmtId="167" fontId="3" fillId="0" borderId="0" xfId="0" applyNumberFormat="1" applyFont="1" applyFill="1" applyBorder="1" applyAlignment="1">
      <alignment vertical="center"/>
    </xf>
    <xf numFmtId="167" fontId="8" fillId="7" borderId="1" xfId="0" applyNumberFormat="1" applyFont="1" applyFill="1" applyBorder="1" applyAlignment="1">
      <alignment horizontal="right" vertical="center"/>
    </xf>
    <xf numFmtId="167" fontId="23" fillId="6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justify" vertical="center"/>
    </xf>
    <xf numFmtId="165" fontId="2" fillId="4" borderId="2" xfId="3" applyNumberFormat="1" applyFont="1" applyFill="1" applyBorder="1" applyAlignment="1">
      <alignment horizontal="right" vertical="center"/>
    </xf>
    <xf numFmtId="165" fontId="2" fillId="4" borderId="3" xfId="3" applyNumberFormat="1" applyFont="1" applyFill="1" applyBorder="1" applyAlignment="1">
      <alignment horizontal="right" vertical="center"/>
    </xf>
    <xf numFmtId="168" fontId="2" fillId="8" borderId="2" xfId="0" applyNumberFormat="1" applyFont="1" applyFill="1" applyBorder="1" applyAlignment="1">
      <alignment horizontal="right" vertical="center"/>
    </xf>
    <xf numFmtId="168" fontId="2" fillId="8" borderId="3" xfId="0" applyNumberFormat="1" applyFont="1" applyFill="1" applyBorder="1" applyAlignment="1">
      <alignment horizontal="right" vertical="center"/>
    </xf>
    <xf numFmtId="165" fontId="2" fillId="8" borderId="2" xfId="3" applyNumberFormat="1" applyFont="1" applyFill="1" applyBorder="1" applyAlignment="1">
      <alignment horizontal="right" vertical="center"/>
    </xf>
    <xf numFmtId="165" fontId="2" fillId="8" borderId="3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7" fontId="8" fillId="8" borderId="2" xfId="0" applyNumberFormat="1" applyFont="1" applyFill="1" applyBorder="1" applyAlignment="1">
      <alignment horizontal="right" vertical="center"/>
    </xf>
    <xf numFmtId="167" fontId="8" fillId="8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7" fontId="2" fillId="5" borderId="2" xfId="0" applyNumberFormat="1" applyFont="1" applyFill="1" applyBorder="1" applyAlignment="1">
      <alignment horizontal="right" vertical="center"/>
    </xf>
    <xf numFmtId="167" fontId="2" fillId="5" borderId="3" xfId="0" applyNumberFormat="1" applyFont="1" applyFill="1" applyBorder="1" applyAlignment="1">
      <alignment horizontal="right" vertical="center"/>
    </xf>
    <xf numFmtId="167" fontId="2" fillId="4" borderId="2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5" fontId="8" fillId="8" borderId="2" xfId="3" applyNumberFormat="1" applyFont="1" applyFill="1" applyBorder="1" applyAlignment="1">
      <alignment horizontal="center" vertical="center"/>
    </xf>
    <xf numFmtId="165" fontId="8" fillId="8" borderId="3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Tmp43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  <color rgb="FFF8F8D6"/>
      <color rgb="FFB7F9C2"/>
      <color rgb="FFFDE9D9"/>
      <color rgb="FFB7FFC2"/>
      <color rgb="FFB7F8C2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91"/>
  <sheetViews>
    <sheetView tabSelected="1" showRuler="0" zoomScaleNormal="100" zoomScaleSheetLayoutView="160" workbookViewId="0">
      <pane ySplit="5" topLeftCell="A6" activePane="bottomLeft" state="frozenSplit"/>
      <selection pane="bottomLeft" activeCell="D57" sqref="D57"/>
    </sheetView>
  </sheetViews>
  <sheetFormatPr defaultColWidth="9.140625" defaultRowHeight="13.5" x14ac:dyDescent="0.2"/>
  <cols>
    <col min="1" max="1" width="18.7109375" style="23" customWidth="1"/>
    <col min="2" max="2" width="39.7109375" style="49" customWidth="1"/>
    <col min="3" max="3" width="12.140625" style="49" customWidth="1"/>
    <col min="4" max="4" width="11.85546875" style="50" customWidth="1"/>
    <col min="5" max="5" width="11.85546875" style="50" hidden="1" customWidth="1"/>
    <col min="6" max="6" width="11.85546875" style="50" customWidth="1"/>
    <col min="7" max="8" width="12.42578125" style="51" customWidth="1"/>
    <col min="9" max="9" width="9.28515625" style="126" customWidth="1"/>
    <col min="10" max="10" width="9.28515625" style="126" hidden="1" customWidth="1"/>
    <col min="11" max="11" width="9.28515625" style="126" customWidth="1"/>
    <col min="12" max="12" width="9.5703125" style="51" customWidth="1"/>
    <col min="13" max="13" width="9.85546875" style="51" customWidth="1"/>
    <col min="14" max="14" width="10.7109375" style="51" customWidth="1"/>
    <col min="15" max="16384" width="9.140625" style="2"/>
  </cols>
  <sheetData>
    <row r="1" spans="1:15" x14ac:dyDescent="0.2">
      <c r="I1" s="240"/>
      <c r="J1" s="240"/>
      <c r="K1" s="240"/>
      <c r="L1" s="240"/>
      <c r="M1" s="240"/>
      <c r="N1" s="240"/>
    </row>
    <row r="2" spans="1:15" ht="16.5" x14ac:dyDescent="0.2">
      <c r="A2" s="243" t="s">
        <v>303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52"/>
    </row>
    <row r="3" spans="1:15" x14ac:dyDescent="0.2">
      <c r="A3" s="53"/>
      <c r="B3" s="54"/>
      <c r="C3" s="54"/>
      <c r="D3" s="233"/>
      <c r="E3" s="175"/>
      <c r="F3" s="233"/>
      <c r="G3" s="9"/>
      <c r="H3" s="9"/>
      <c r="I3" s="143"/>
      <c r="J3" s="143"/>
      <c r="K3" s="143"/>
      <c r="N3" s="23" t="s">
        <v>114</v>
      </c>
    </row>
    <row r="4" spans="1:15" s="231" customFormat="1" ht="63.75" x14ac:dyDescent="0.2">
      <c r="A4" s="112" t="s">
        <v>17</v>
      </c>
      <c r="B4" s="113" t="s">
        <v>19</v>
      </c>
      <c r="C4" s="171" t="s">
        <v>285</v>
      </c>
      <c r="D4" s="171" t="s">
        <v>286</v>
      </c>
      <c r="E4" s="171" t="s">
        <v>234</v>
      </c>
      <c r="F4" s="171" t="s">
        <v>304</v>
      </c>
      <c r="G4" s="171" t="s">
        <v>305</v>
      </c>
      <c r="H4" s="171" t="s">
        <v>317</v>
      </c>
      <c r="I4" s="142" t="s">
        <v>294</v>
      </c>
      <c r="J4" s="142" t="s">
        <v>287</v>
      </c>
      <c r="K4" s="189" t="s">
        <v>306</v>
      </c>
      <c r="L4" s="189" t="s">
        <v>18</v>
      </c>
      <c r="M4" s="189" t="s">
        <v>10</v>
      </c>
      <c r="N4" s="225" t="s">
        <v>307</v>
      </c>
    </row>
    <row r="5" spans="1:15" s="29" customFormat="1" ht="11.25" x14ac:dyDescent="0.2">
      <c r="A5" s="184">
        <v>1</v>
      </c>
      <c r="B5" s="188" t="s">
        <v>65</v>
      </c>
      <c r="C5" s="184">
        <v>3</v>
      </c>
      <c r="D5" s="188" t="s">
        <v>288</v>
      </c>
      <c r="E5" s="184">
        <v>3</v>
      </c>
      <c r="F5" s="188" t="s">
        <v>289</v>
      </c>
      <c r="G5" s="184">
        <v>6</v>
      </c>
      <c r="H5" s="188" t="s">
        <v>291</v>
      </c>
      <c r="I5" s="184">
        <v>8</v>
      </c>
      <c r="J5" s="188" t="s">
        <v>290</v>
      </c>
      <c r="K5" s="184">
        <v>9</v>
      </c>
      <c r="L5" s="188" t="s">
        <v>292</v>
      </c>
      <c r="M5" s="184">
        <v>11</v>
      </c>
      <c r="N5" s="188" t="s">
        <v>293</v>
      </c>
    </row>
    <row r="6" spans="1:15" s="10" customFormat="1" ht="16.5" x14ac:dyDescent="0.2">
      <c r="A6" s="32" t="s">
        <v>27</v>
      </c>
      <c r="B6" s="96" t="s">
        <v>146</v>
      </c>
      <c r="C6" s="91">
        <f>C7+C22</f>
        <v>644030.4</v>
      </c>
      <c r="D6" s="91">
        <f t="shared" ref="D6:H6" si="0">D7+D22</f>
        <v>711141.5</v>
      </c>
      <c r="E6" s="91">
        <f t="shared" si="0"/>
        <v>501734</v>
      </c>
      <c r="F6" s="91">
        <f t="shared" si="0"/>
        <v>392443</v>
      </c>
      <c r="G6" s="91">
        <f t="shared" ref="G6" si="1">G7+G22</f>
        <v>497816.7</v>
      </c>
      <c r="H6" s="91">
        <f t="shared" si="0"/>
        <v>388996.1</v>
      </c>
      <c r="I6" s="164">
        <f t="shared" ref="I6:I41" si="2">H6/Всего_доходов_2003</f>
        <v>0.55200000000000005</v>
      </c>
      <c r="J6" s="153">
        <f t="shared" ref="J6:J32" si="3">H6/E6</f>
        <v>0.77500000000000002</v>
      </c>
      <c r="K6" s="153">
        <f t="shared" ref="K6:K72" si="4">H6/F6</f>
        <v>0.99099999999999999</v>
      </c>
      <c r="L6" s="154">
        <f t="shared" ref="L6:L46" si="5">H6-D6</f>
        <v>-322145.40000000002</v>
      </c>
      <c r="M6" s="153">
        <f t="shared" ref="M6:M69" si="6">H6/D6</f>
        <v>0.54700000000000004</v>
      </c>
      <c r="N6" s="190">
        <f>H6-G6</f>
        <v>-108820.6</v>
      </c>
      <c r="O6" s="17"/>
    </row>
    <row r="7" spans="1:15" s="10" customFormat="1" x14ac:dyDescent="0.2">
      <c r="A7" s="32"/>
      <c r="B7" s="33" t="s">
        <v>11</v>
      </c>
      <c r="C7" s="91">
        <f>C9+C11+C13+C16</f>
        <v>553196.6</v>
      </c>
      <c r="D7" s="91">
        <f t="shared" ref="D7:H7" si="7">D9+D11+D13+D16</f>
        <v>553196.6</v>
      </c>
      <c r="E7" s="91">
        <f t="shared" si="7"/>
        <v>343034.4</v>
      </c>
      <c r="F7" s="91">
        <f t="shared" si="7"/>
        <v>337874.6</v>
      </c>
      <c r="G7" s="91">
        <f t="shared" ref="G7" si="8">G9+G11+G13+G16</f>
        <v>342133.3</v>
      </c>
      <c r="H7" s="91">
        <f t="shared" si="7"/>
        <v>334752.8</v>
      </c>
      <c r="I7" s="164">
        <f t="shared" si="2"/>
        <v>0.47499999999999998</v>
      </c>
      <c r="J7" s="153">
        <f t="shared" si="3"/>
        <v>0.97599999999999998</v>
      </c>
      <c r="K7" s="153">
        <f t="shared" si="4"/>
        <v>0.99099999999999999</v>
      </c>
      <c r="L7" s="154">
        <f t="shared" si="5"/>
        <v>-218443.8</v>
      </c>
      <c r="M7" s="153">
        <f t="shared" si="6"/>
        <v>0.60499999999999998</v>
      </c>
      <c r="N7" s="190">
        <f t="shared" ref="N7:N66" si="9">H7-G7</f>
        <v>-7380.5</v>
      </c>
      <c r="O7" s="17"/>
    </row>
    <row r="8" spans="1:15" s="10" customFormat="1" x14ac:dyDescent="0.2">
      <c r="A8" s="32" t="s">
        <v>28</v>
      </c>
      <c r="B8" s="33" t="s">
        <v>29</v>
      </c>
      <c r="C8" s="91">
        <f>SUM(C9)</f>
        <v>307692.90000000002</v>
      </c>
      <c r="D8" s="91">
        <f t="shared" ref="D8:H8" si="10">SUM(D9)</f>
        <v>307692.90000000002</v>
      </c>
      <c r="E8" s="91">
        <f t="shared" si="10"/>
        <v>201497</v>
      </c>
      <c r="F8" s="91">
        <f t="shared" si="10"/>
        <v>218172.7</v>
      </c>
      <c r="G8" s="91">
        <f t="shared" si="10"/>
        <v>199375.7</v>
      </c>
      <c r="H8" s="91">
        <f t="shared" si="10"/>
        <v>216500.8</v>
      </c>
      <c r="I8" s="164">
        <f t="shared" si="2"/>
        <v>0.307</v>
      </c>
      <c r="J8" s="153">
        <f t="shared" si="3"/>
        <v>1.0740000000000001</v>
      </c>
      <c r="K8" s="153">
        <f t="shared" si="4"/>
        <v>0.99199999999999999</v>
      </c>
      <c r="L8" s="154">
        <f t="shared" si="5"/>
        <v>-91192.1</v>
      </c>
      <c r="M8" s="153">
        <f t="shared" si="6"/>
        <v>0.70399999999999996</v>
      </c>
      <c r="N8" s="190">
        <f t="shared" si="9"/>
        <v>17125.099999999999</v>
      </c>
      <c r="O8" s="17"/>
    </row>
    <row r="9" spans="1:15" s="10" customFormat="1" x14ac:dyDescent="0.2">
      <c r="A9" s="32" t="s">
        <v>30</v>
      </c>
      <c r="B9" s="72" t="s">
        <v>12</v>
      </c>
      <c r="C9" s="91">
        <f>C10</f>
        <v>307692.90000000002</v>
      </c>
      <c r="D9" s="91">
        <f t="shared" ref="D9:H9" si="11">D10</f>
        <v>307692.90000000002</v>
      </c>
      <c r="E9" s="91">
        <f t="shared" si="11"/>
        <v>201497</v>
      </c>
      <c r="F9" s="91">
        <f t="shared" si="11"/>
        <v>218172.7</v>
      </c>
      <c r="G9" s="91">
        <f t="shared" si="11"/>
        <v>199375.7</v>
      </c>
      <c r="H9" s="91">
        <f t="shared" si="11"/>
        <v>216500.8</v>
      </c>
      <c r="I9" s="164">
        <f t="shared" si="2"/>
        <v>0.307</v>
      </c>
      <c r="J9" s="153">
        <f t="shared" si="3"/>
        <v>1.0740000000000001</v>
      </c>
      <c r="K9" s="153">
        <f t="shared" si="4"/>
        <v>0.99199999999999999</v>
      </c>
      <c r="L9" s="154">
        <f t="shared" si="5"/>
        <v>-91192.1</v>
      </c>
      <c r="M9" s="153">
        <f t="shared" si="6"/>
        <v>0.70399999999999996</v>
      </c>
      <c r="N9" s="190">
        <f t="shared" si="9"/>
        <v>17125.099999999999</v>
      </c>
      <c r="O9" s="17"/>
    </row>
    <row r="10" spans="1:15" s="10" customFormat="1" ht="72.75" customHeight="1" x14ac:dyDescent="0.2">
      <c r="A10" s="34" t="s">
        <v>115</v>
      </c>
      <c r="B10" s="36" t="s">
        <v>124</v>
      </c>
      <c r="C10" s="109">
        <v>307692.90000000002</v>
      </c>
      <c r="D10" s="82">
        <v>307692.90000000002</v>
      </c>
      <c r="E10" s="82">
        <v>201497</v>
      </c>
      <c r="F10" s="82">
        <v>218172.7</v>
      </c>
      <c r="G10" s="109">
        <v>199375.7</v>
      </c>
      <c r="H10" s="109">
        <v>216500.8</v>
      </c>
      <c r="I10" s="158">
        <f t="shared" si="2"/>
        <v>0.307</v>
      </c>
      <c r="J10" s="153">
        <f t="shared" si="3"/>
        <v>1.0740000000000001</v>
      </c>
      <c r="K10" s="195">
        <f t="shared" si="4"/>
        <v>0.99199999999999999</v>
      </c>
      <c r="L10" s="191">
        <f t="shared" si="5"/>
        <v>-91192.1</v>
      </c>
      <c r="M10" s="153">
        <f t="shared" si="6"/>
        <v>0.70399999999999996</v>
      </c>
      <c r="N10" s="190">
        <f t="shared" si="9"/>
        <v>17125.099999999999</v>
      </c>
      <c r="O10" s="17"/>
    </row>
    <row r="11" spans="1:15" s="10" customFormat="1" ht="27" x14ac:dyDescent="0.2">
      <c r="A11" s="32" t="s">
        <v>143</v>
      </c>
      <c r="B11" s="39" t="s">
        <v>147</v>
      </c>
      <c r="C11" s="91">
        <f>C12</f>
        <v>23391</v>
      </c>
      <c r="D11" s="91">
        <f t="shared" ref="D11:H11" si="12">D12</f>
        <v>23391</v>
      </c>
      <c r="E11" s="91">
        <f t="shared" si="12"/>
        <v>16694.7</v>
      </c>
      <c r="F11" s="91">
        <f t="shared" si="12"/>
        <v>16277.6</v>
      </c>
      <c r="G11" s="91">
        <f t="shared" si="12"/>
        <v>16656.2</v>
      </c>
      <c r="H11" s="91">
        <f t="shared" si="12"/>
        <v>15434.2</v>
      </c>
      <c r="I11" s="165">
        <f t="shared" si="2"/>
        <v>2.1999999999999999E-2</v>
      </c>
      <c r="J11" s="153">
        <f t="shared" si="3"/>
        <v>0.92400000000000004</v>
      </c>
      <c r="K11" s="153">
        <f t="shared" si="4"/>
        <v>0.94799999999999995</v>
      </c>
      <c r="L11" s="191">
        <f t="shared" si="5"/>
        <v>-7956.8</v>
      </c>
      <c r="M11" s="153">
        <f t="shared" si="6"/>
        <v>0.66</v>
      </c>
      <c r="N11" s="190">
        <f t="shared" si="9"/>
        <v>-1222</v>
      </c>
      <c r="O11" s="17"/>
    </row>
    <row r="12" spans="1:15" s="10" customFormat="1" ht="27" x14ac:dyDescent="0.2">
      <c r="A12" s="34" t="s">
        <v>164</v>
      </c>
      <c r="B12" s="106" t="s">
        <v>148</v>
      </c>
      <c r="C12" s="109">
        <v>23391</v>
      </c>
      <c r="D12" s="82">
        <v>23391</v>
      </c>
      <c r="E12" s="82">
        <v>16694.7</v>
      </c>
      <c r="F12" s="82">
        <v>16277.6</v>
      </c>
      <c r="G12" s="82">
        <v>16656.2</v>
      </c>
      <c r="H12" s="82">
        <v>15434.2</v>
      </c>
      <c r="I12" s="158">
        <f t="shared" si="2"/>
        <v>2.1999999999999999E-2</v>
      </c>
      <c r="J12" s="153">
        <f t="shared" si="3"/>
        <v>0.92400000000000004</v>
      </c>
      <c r="K12" s="195">
        <f t="shared" si="4"/>
        <v>0.94799999999999995</v>
      </c>
      <c r="L12" s="191">
        <f t="shared" si="5"/>
        <v>-7956.8</v>
      </c>
      <c r="M12" s="153">
        <f t="shared" si="6"/>
        <v>0.66</v>
      </c>
      <c r="N12" s="190">
        <f t="shared" si="9"/>
        <v>-1222</v>
      </c>
      <c r="O12" s="17"/>
    </row>
    <row r="13" spans="1:15" s="16" customFormat="1" x14ac:dyDescent="0.2">
      <c r="A13" s="32" t="s">
        <v>84</v>
      </c>
      <c r="B13" s="39" t="s">
        <v>13</v>
      </c>
      <c r="C13" s="91">
        <f>SUM(C14)</f>
        <v>6285</v>
      </c>
      <c r="D13" s="91">
        <f t="shared" ref="D13:H13" si="13">SUM(D14)</f>
        <v>6285</v>
      </c>
      <c r="E13" s="91">
        <f t="shared" si="13"/>
        <v>5052</v>
      </c>
      <c r="F13" s="91">
        <f t="shared" si="13"/>
        <v>5649.3</v>
      </c>
      <c r="G13" s="91">
        <f t="shared" si="13"/>
        <v>7090</v>
      </c>
      <c r="H13" s="91">
        <f t="shared" si="13"/>
        <v>5649.3</v>
      </c>
      <c r="I13" s="164">
        <f t="shared" si="2"/>
        <v>8.0000000000000002E-3</v>
      </c>
      <c r="J13" s="153">
        <f t="shared" si="3"/>
        <v>1.1180000000000001</v>
      </c>
      <c r="K13" s="153">
        <f t="shared" si="4"/>
        <v>1</v>
      </c>
      <c r="L13" s="154">
        <f t="shared" si="5"/>
        <v>-635.70000000000005</v>
      </c>
      <c r="M13" s="153">
        <f t="shared" si="6"/>
        <v>0.89900000000000002</v>
      </c>
      <c r="N13" s="190">
        <f t="shared" si="9"/>
        <v>-1440.7</v>
      </c>
      <c r="O13" s="18"/>
    </row>
    <row r="14" spans="1:15" s="16" customFormat="1" x14ac:dyDescent="0.2">
      <c r="A14" s="32" t="s">
        <v>31</v>
      </c>
      <c r="B14" s="33" t="s">
        <v>0</v>
      </c>
      <c r="C14" s="91">
        <f>C15</f>
        <v>6285</v>
      </c>
      <c r="D14" s="91">
        <f t="shared" ref="D14:H14" si="14">D15</f>
        <v>6285</v>
      </c>
      <c r="E14" s="91">
        <f t="shared" si="14"/>
        <v>5052</v>
      </c>
      <c r="F14" s="91">
        <f t="shared" si="14"/>
        <v>5649.3</v>
      </c>
      <c r="G14" s="91">
        <f t="shared" si="14"/>
        <v>7090</v>
      </c>
      <c r="H14" s="91">
        <f t="shared" si="14"/>
        <v>5649.3</v>
      </c>
      <c r="I14" s="164">
        <f t="shared" si="2"/>
        <v>8.0000000000000002E-3</v>
      </c>
      <c r="J14" s="153">
        <f t="shared" si="3"/>
        <v>1.1180000000000001</v>
      </c>
      <c r="K14" s="153">
        <f t="shared" si="4"/>
        <v>1</v>
      </c>
      <c r="L14" s="154">
        <f t="shared" si="5"/>
        <v>-635.70000000000005</v>
      </c>
      <c r="M14" s="153">
        <f t="shared" si="6"/>
        <v>0.89900000000000002</v>
      </c>
      <c r="N14" s="190">
        <f t="shared" si="9"/>
        <v>-1440.7</v>
      </c>
      <c r="O14" s="18"/>
    </row>
    <row r="15" spans="1:15" s="16" customFormat="1" x14ac:dyDescent="0.2">
      <c r="A15" s="34" t="s">
        <v>72</v>
      </c>
      <c r="B15" s="36" t="s">
        <v>0</v>
      </c>
      <c r="C15" s="110">
        <v>6285</v>
      </c>
      <c r="D15" s="22">
        <v>6285</v>
      </c>
      <c r="E15" s="22">
        <v>5052</v>
      </c>
      <c r="F15" s="22">
        <v>5649.3</v>
      </c>
      <c r="G15" s="22">
        <v>7090</v>
      </c>
      <c r="H15" s="22">
        <v>5649.3</v>
      </c>
      <c r="I15" s="158">
        <f t="shared" si="2"/>
        <v>8.0000000000000002E-3</v>
      </c>
      <c r="J15" s="153">
        <f t="shared" si="3"/>
        <v>1.1180000000000001</v>
      </c>
      <c r="K15" s="195">
        <f t="shared" si="4"/>
        <v>1</v>
      </c>
      <c r="L15" s="191">
        <f t="shared" si="5"/>
        <v>-635.70000000000005</v>
      </c>
      <c r="M15" s="153">
        <f t="shared" si="6"/>
        <v>0.89900000000000002</v>
      </c>
      <c r="N15" s="190">
        <f t="shared" si="9"/>
        <v>-1440.7</v>
      </c>
      <c r="O15" s="18"/>
    </row>
    <row r="16" spans="1:15" s="16" customFormat="1" x14ac:dyDescent="0.2">
      <c r="A16" s="32" t="s">
        <v>85</v>
      </c>
      <c r="B16" s="33" t="s">
        <v>14</v>
      </c>
      <c r="C16" s="91">
        <f>SUM(C17+C19)</f>
        <v>215827.7</v>
      </c>
      <c r="D16" s="91">
        <f t="shared" ref="D16:H16" si="15">SUM(D17+D19)</f>
        <v>215827.7</v>
      </c>
      <c r="E16" s="91">
        <f t="shared" si="15"/>
        <v>119790.7</v>
      </c>
      <c r="F16" s="91">
        <f t="shared" si="15"/>
        <v>97775</v>
      </c>
      <c r="G16" s="91">
        <f t="shared" ref="G16" si="16">SUM(G17+G19)</f>
        <v>119011.4</v>
      </c>
      <c r="H16" s="91">
        <f t="shared" si="15"/>
        <v>97168.5</v>
      </c>
      <c r="I16" s="164">
        <f t="shared" si="2"/>
        <v>0.13800000000000001</v>
      </c>
      <c r="J16" s="153">
        <f t="shared" si="3"/>
        <v>0.81100000000000005</v>
      </c>
      <c r="K16" s="153">
        <f t="shared" si="4"/>
        <v>0.99399999999999999</v>
      </c>
      <c r="L16" s="154">
        <f t="shared" si="5"/>
        <v>-118659.2</v>
      </c>
      <c r="M16" s="153">
        <f t="shared" si="6"/>
        <v>0.45</v>
      </c>
      <c r="N16" s="190">
        <f t="shared" si="9"/>
        <v>-21842.9</v>
      </c>
      <c r="O16" s="18"/>
    </row>
    <row r="17" spans="1:15" s="20" customFormat="1" x14ac:dyDescent="0.2">
      <c r="A17" s="32" t="s">
        <v>34</v>
      </c>
      <c r="B17" s="33" t="s">
        <v>33</v>
      </c>
      <c r="C17" s="91">
        <f>C18</f>
        <v>107647.7</v>
      </c>
      <c r="D17" s="91">
        <f t="shared" ref="D17:H17" si="17">D18</f>
        <v>107647.7</v>
      </c>
      <c r="E17" s="91">
        <f t="shared" si="17"/>
        <v>43400</v>
      </c>
      <c r="F17" s="91">
        <f t="shared" si="17"/>
        <v>15650</v>
      </c>
      <c r="G17" s="91">
        <f t="shared" si="17"/>
        <v>43192.5</v>
      </c>
      <c r="H17" s="91">
        <f t="shared" si="17"/>
        <v>15542.9</v>
      </c>
      <c r="I17" s="164">
        <f t="shared" si="2"/>
        <v>2.1999999999999999E-2</v>
      </c>
      <c r="J17" s="153">
        <f t="shared" si="3"/>
        <v>0.35799999999999998</v>
      </c>
      <c r="K17" s="153">
        <f t="shared" si="4"/>
        <v>0.99299999999999999</v>
      </c>
      <c r="L17" s="154">
        <f t="shared" si="5"/>
        <v>-92104.8</v>
      </c>
      <c r="M17" s="153">
        <f t="shared" si="6"/>
        <v>0.14399999999999999</v>
      </c>
      <c r="N17" s="190">
        <f t="shared" si="9"/>
        <v>-27649.599999999999</v>
      </c>
      <c r="O17" s="19"/>
    </row>
    <row r="18" spans="1:15" s="16" customFormat="1" ht="40.5" x14ac:dyDescent="0.2">
      <c r="A18" s="34" t="s">
        <v>165</v>
      </c>
      <c r="B18" s="36" t="s">
        <v>35</v>
      </c>
      <c r="C18" s="180">
        <v>107647.7</v>
      </c>
      <c r="D18" s="48">
        <v>107647.7</v>
      </c>
      <c r="E18" s="48">
        <v>43400</v>
      </c>
      <c r="F18" s="48">
        <v>15650</v>
      </c>
      <c r="G18" s="48">
        <v>43192.5</v>
      </c>
      <c r="H18" s="48">
        <v>15542.9</v>
      </c>
      <c r="I18" s="158">
        <f t="shared" si="2"/>
        <v>2.1999999999999999E-2</v>
      </c>
      <c r="J18" s="153">
        <f t="shared" si="3"/>
        <v>0.35799999999999998</v>
      </c>
      <c r="K18" s="195">
        <f t="shared" si="4"/>
        <v>0.99299999999999999</v>
      </c>
      <c r="L18" s="191">
        <f t="shared" si="5"/>
        <v>-92104.8</v>
      </c>
      <c r="M18" s="153">
        <f t="shared" si="6"/>
        <v>0.14399999999999999</v>
      </c>
      <c r="N18" s="190">
        <f t="shared" si="9"/>
        <v>-27649.599999999999</v>
      </c>
      <c r="O18" s="18"/>
    </row>
    <row r="19" spans="1:15" s="20" customFormat="1" x14ac:dyDescent="0.2">
      <c r="A19" s="32" t="s">
        <v>32</v>
      </c>
      <c r="B19" s="33" t="s">
        <v>15</v>
      </c>
      <c r="C19" s="91">
        <f>SUM(C20:C21)</f>
        <v>108180</v>
      </c>
      <c r="D19" s="91">
        <f t="shared" ref="D19:H19" si="18">SUM(D20:D21)</f>
        <v>108180</v>
      </c>
      <c r="E19" s="91">
        <f t="shared" si="18"/>
        <v>76390.7</v>
      </c>
      <c r="F19" s="91">
        <f t="shared" si="18"/>
        <v>82125</v>
      </c>
      <c r="G19" s="91">
        <f t="shared" ref="G19" si="19">SUM(G20:G21)</f>
        <v>75818.899999999994</v>
      </c>
      <c r="H19" s="91">
        <f t="shared" si="18"/>
        <v>81625.600000000006</v>
      </c>
      <c r="I19" s="164">
        <f t="shared" si="2"/>
        <v>0.11600000000000001</v>
      </c>
      <c r="J19" s="153">
        <f t="shared" si="3"/>
        <v>1.069</v>
      </c>
      <c r="K19" s="153">
        <f t="shared" si="4"/>
        <v>0.99399999999999999</v>
      </c>
      <c r="L19" s="154">
        <f t="shared" si="5"/>
        <v>-26554.400000000001</v>
      </c>
      <c r="M19" s="153">
        <f t="shared" si="6"/>
        <v>0.755</v>
      </c>
      <c r="N19" s="190">
        <f t="shared" si="9"/>
        <v>5806.7</v>
      </c>
      <c r="O19" s="19"/>
    </row>
    <row r="20" spans="1:15" s="20" customFormat="1" x14ac:dyDescent="0.2">
      <c r="A20" s="107" t="s">
        <v>166</v>
      </c>
      <c r="B20" s="36" t="s">
        <v>162</v>
      </c>
      <c r="C20" s="180">
        <v>53900</v>
      </c>
      <c r="D20" s="48">
        <v>53900</v>
      </c>
      <c r="E20" s="180">
        <v>54700</v>
      </c>
      <c r="F20" s="180">
        <v>65425</v>
      </c>
      <c r="G20" s="48">
        <v>54296.5</v>
      </c>
      <c r="H20" s="180">
        <v>65036.800000000003</v>
      </c>
      <c r="I20" s="158">
        <f t="shared" si="2"/>
        <v>9.1999999999999998E-2</v>
      </c>
      <c r="J20" s="153">
        <f t="shared" si="3"/>
        <v>1.1890000000000001</v>
      </c>
      <c r="K20" s="195">
        <f t="shared" si="4"/>
        <v>0.99399999999999999</v>
      </c>
      <c r="L20" s="191">
        <f t="shared" si="5"/>
        <v>11136.8</v>
      </c>
      <c r="M20" s="153">
        <f t="shared" si="6"/>
        <v>1.2070000000000001</v>
      </c>
      <c r="N20" s="190">
        <f t="shared" si="9"/>
        <v>10740.3</v>
      </c>
      <c r="O20" s="19"/>
    </row>
    <row r="21" spans="1:15" s="16" customFormat="1" x14ac:dyDescent="0.2">
      <c r="A21" s="107" t="s">
        <v>167</v>
      </c>
      <c r="B21" s="36" t="s">
        <v>163</v>
      </c>
      <c r="C21" s="180">
        <v>54280</v>
      </c>
      <c r="D21" s="48">
        <v>54280</v>
      </c>
      <c r="E21" s="180">
        <v>21690.7</v>
      </c>
      <c r="F21" s="180">
        <v>16700</v>
      </c>
      <c r="G21" s="48">
        <v>21522.400000000001</v>
      </c>
      <c r="H21" s="180">
        <v>16588.8</v>
      </c>
      <c r="I21" s="158">
        <f t="shared" si="2"/>
        <v>2.4E-2</v>
      </c>
      <c r="J21" s="153">
        <f t="shared" si="3"/>
        <v>0.76500000000000001</v>
      </c>
      <c r="K21" s="195">
        <f t="shared" si="4"/>
        <v>0.99299999999999999</v>
      </c>
      <c r="L21" s="191">
        <f t="shared" si="5"/>
        <v>-37691.199999999997</v>
      </c>
      <c r="M21" s="153">
        <f t="shared" si="6"/>
        <v>0.30599999999999999</v>
      </c>
      <c r="N21" s="190">
        <f t="shared" si="9"/>
        <v>-4933.6000000000004</v>
      </c>
      <c r="O21" s="18"/>
    </row>
    <row r="22" spans="1:15" s="20" customFormat="1" x14ac:dyDescent="0.2">
      <c r="A22" s="32"/>
      <c r="B22" s="33" t="s">
        <v>16</v>
      </c>
      <c r="C22" s="91">
        <f>C23+C29+C30+C31+C40+C36</f>
        <v>90833.8</v>
      </c>
      <c r="D22" s="91">
        <f t="shared" ref="D22:H22" si="20">D23+D29+D30+D31+D40+D36</f>
        <v>157944.9</v>
      </c>
      <c r="E22" s="91">
        <f t="shared" si="20"/>
        <v>158699.6</v>
      </c>
      <c r="F22" s="91">
        <f t="shared" si="20"/>
        <v>54568.4</v>
      </c>
      <c r="G22" s="91">
        <f t="shared" si="20"/>
        <v>155683.4</v>
      </c>
      <c r="H22" s="91">
        <f t="shared" si="20"/>
        <v>54243.3</v>
      </c>
      <c r="I22" s="164">
        <f t="shared" si="2"/>
        <v>7.6999999999999999E-2</v>
      </c>
      <c r="J22" s="153">
        <f t="shared" si="3"/>
        <v>0.34200000000000003</v>
      </c>
      <c r="K22" s="153">
        <f t="shared" si="4"/>
        <v>0.99399999999999999</v>
      </c>
      <c r="L22" s="154">
        <f t="shared" si="5"/>
        <v>-103701.6</v>
      </c>
      <c r="M22" s="153">
        <f t="shared" si="6"/>
        <v>0.34300000000000003</v>
      </c>
      <c r="N22" s="190">
        <f t="shared" si="9"/>
        <v>-101440.1</v>
      </c>
      <c r="O22" s="19"/>
    </row>
    <row r="23" spans="1:15" s="16" customFormat="1" ht="40.5" x14ac:dyDescent="0.2">
      <c r="A23" s="32" t="s">
        <v>37</v>
      </c>
      <c r="B23" s="33" t="s">
        <v>1</v>
      </c>
      <c r="C23" s="101">
        <f>SUM(C24:C28)</f>
        <v>83230.8</v>
      </c>
      <c r="D23" s="101">
        <f t="shared" ref="D23:H23" si="21">SUM(D24:D28)</f>
        <v>83230.8</v>
      </c>
      <c r="E23" s="101">
        <f t="shared" si="21"/>
        <v>149271</v>
      </c>
      <c r="F23" s="101">
        <f t="shared" si="21"/>
        <v>45815.4</v>
      </c>
      <c r="G23" s="101">
        <f t="shared" ref="G23" si="22">SUM(G24:G28)</f>
        <v>149249.1</v>
      </c>
      <c r="H23" s="101">
        <f t="shared" si="21"/>
        <v>45383.9</v>
      </c>
      <c r="I23" s="164">
        <f t="shared" si="2"/>
        <v>6.4000000000000001E-2</v>
      </c>
      <c r="J23" s="153">
        <f t="shared" si="3"/>
        <v>0.30399999999999999</v>
      </c>
      <c r="K23" s="153">
        <f t="shared" si="4"/>
        <v>0.99099999999999999</v>
      </c>
      <c r="L23" s="154">
        <f t="shared" si="5"/>
        <v>-37846.9</v>
      </c>
      <c r="M23" s="153">
        <f t="shared" si="6"/>
        <v>0.54500000000000004</v>
      </c>
      <c r="N23" s="190">
        <f t="shared" si="9"/>
        <v>-103865.2</v>
      </c>
      <c r="O23" s="18"/>
    </row>
    <row r="24" spans="1:15" s="16" customFormat="1" ht="81" x14ac:dyDescent="0.2">
      <c r="A24" s="34" t="s">
        <v>231</v>
      </c>
      <c r="B24" s="36" t="s">
        <v>39</v>
      </c>
      <c r="C24" s="180">
        <v>66213</v>
      </c>
      <c r="D24" s="22">
        <v>66213</v>
      </c>
      <c r="E24" s="22">
        <v>41822</v>
      </c>
      <c r="F24" s="22">
        <v>37659.800000000003</v>
      </c>
      <c r="G24" s="48">
        <v>41762.6</v>
      </c>
      <c r="H24" s="48">
        <v>37228.300000000003</v>
      </c>
      <c r="I24" s="158">
        <f t="shared" si="2"/>
        <v>5.2999999999999999E-2</v>
      </c>
      <c r="J24" s="153">
        <f t="shared" si="3"/>
        <v>0.89</v>
      </c>
      <c r="K24" s="195">
        <f t="shared" si="4"/>
        <v>0.98899999999999999</v>
      </c>
      <c r="L24" s="191">
        <f t="shared" si="5"/>
        <v>-28984.7</v>
      </c>
      <c r="M24" s="153">
        <f t="shared" si="6"/>
        <v>0.56200000000000006</v>
      </c>
      <c r="N24" s="190">
        <f t="shared" si="9"/>
        <v>-4534.3</v>
      </c>
      <c r="O24" s="18"/>
    </row>
    <row r="25" spans="1:15" s="16" customFormat="1" ht="94.5" x14ac:dyDescent="0.2">
      <c r="A25" s="34" t="s">
        <v>232</v>
      </c>
      <c r="B25" s="36" t="s">
        <v>233</v>
      </c>
      <c r="C25" s="180">
        <v>7846.2</v>
      </c>
      <c r="D25" s="22">
        <v>7846.2</v>
      </c>
      <c r="E25" s="22">
        <v>100000</v>
      </c>
      <c r="F25" s="22">
        <v>0</v>
      </c>
      <c r="G25" s="48">
        <v>100000</v>
      </c>
      <c r="H25" s="48">
        <v>0</v>
      </c>
      <c r="I25" s="158">
        <f t="shared" si="2"/>
        <v>0</v>
      </c>
      <c r="J25" s="153">
        <f t="shared" si="3"/>
        <v>0</v>
      </c>
      <c r="K25" s="195">
        <v>0</v>
      </c>
      <c r="L25" s="191">
        <f t="shared" si="5"/>
        <v>-7846.2</v>
      </c>
      <c r="M25" s="153">
        <f>H25/D25</f>
        <v>0</v>
      </c>
      <c r="N25" s="190">
        <f t="shared" si="9"/>
        <v>-100000</v>
      </c>
      <c r="O25" s="18"/>
    </row>
    <row r="26" spans="1:15" s="16" customFormat="1" ht="27" x14ac:dyDescent="0.2">
      <c r="A26" s="107" t="s">
        <v>149</v>
      </c>
      <c r="B26" s="36" t="s">
        <v>130</v>
      </c>
      <c r="C26" s="180">
        <v>2294.1</v>
      </c>
      <c r="D26" s="22">
        <v>2294.1</v>
      </c>
      <c r="E26" s="22">
        <v>1832</v>
      </c>
      <c r="F26" s="22">
        <v>1850.6</v>
      </c>
      <c r="G26" s="48">
        <v>1875.3</v>
      </c>
      <c r="H26" s="48">
        <v>1850.5</v>
      </c>
      <c r="I26" s="158">
        <f t="shared" si="2"/>
        <v>3.0000000000000001E-3</v>
      </c>
      <c r="J26" s="153">
        <f t="shared" si="3"/>
        <v>1.01</v>
      </c>
      <c r="K26" s="195">
        <f t="shared" si="4"/>
        <v>1</v>
      </c>
      <c r="L26" s="191">
        <f t="shared" si="5"/>
        <v>-443.6</v>
      </c>
      <c r="M26" s="153">
        <f t="shared" si="6"/>
        <v>0.80700000000000005</v>
      </c>
      <c r="N26" s="190">
        <f t="shared" si="9"/>
        <v>-24.8</v>
      </c>
      <c r="O26" s="18"/>
    </row>
    <row r="27" spans="1:15" s="16" customFormat="1" ht="54" hidden="1" customHeight="1" x14ac:dyDescent="0.2">
      <c r="A27" s="107" t="s">
        <v>150</v>
      </c>
      <c r="B27" s="36" t="s">
        <v>122</v>
      </c>
      <c r="C27" s="180">
        <v>0</v>
      </c>
      <c r="D27" s="22">
        <v>0</v>
      </c>
      <c r="E27" s="22"/>
      <c r="F27" s="22"/>
      <c r="G27" s="48">
        <v>0</v>
      </c>
      <c r="H27" s="48">
        <v>0</v>
      </c>
      <c r="I27" s="127">
        <f t="shared" si="2"/>
        <v>0</v>
      </c>
      <c r="J27" s="153" t="e">
        <f t="shared" si="3"/>
        <v>#DIV/0!</v>
      </c>
      <c r="K27" s="153" t="e">
        <f t="shared" si="4"/>
        <v>#DIV/0!</v>
      </c>
      <c r="L27" s="191">
        <f t="shared" si="5"/>
        <v>0</v>
      </c>
      <c r="M27" s="153" t="e">
        <f t="shared" si="6"/>
        <v>#DIV/0!</v>
      </c>
      <c r="N27" s="190">
        <f t="shared" si="9"/>
        <v>0</v>
      </c>
      <c r="O27" s="18"/>
    </row>
    <row r="28" spans="1:15" s="20" customFormat="1" ht="81" x14ac:dyDescent="0.2">
      <c r="A28" s="108" t="s">
        <v>172</v>
      </c>
      <c r="B28" s="35" t="s">
        <v>73</v>
      </c>
      <c r="C28" s="111">
        <v>6877.5</v>
      </c>
      <c r="D28" s="110">
        <v>6877.5</v>
      </c>
      <c r="E28" s="110">
        <v>5617</v>
      </c>
      <c r="F28" s="110">
        <v>6305</v>
      </c>
      <c r="G28" s="28">
        <v>5611.2</v>
      </c>
      <c r="H28" s="28">
        <v>6305.1</v>
      </c>
      <c r="I28" s="158">
        <f t="shared" si="2"/>
        <v>8.9999999999999993E-3</v>
      </c>
      <c r="J28" s="153">
        <f t="shared" si="3"/>
        <v>1.123</v>
      </c>
      <c r="K28" s="195">
        <f t="shared" si="4"/>
        <v>1</v>
      </c>
      <c r="L28" s="191">
        <f t="shared" si="5"/>
        <v>-572.4</v>
      </c>
      <c r="M28" s="153">
        <f t="shared" si="6"/>
        <v>0.91700000000000004</v>
      </c>
      <c r="N28" s="190">
        <f t="shared" si="9"/>
        <v>693.9</v>
      </c>
      <c r="O28" s="19"/>
    </row>
    <row r="29" spans="1:15" s="20" customFormat="1" ht="18" customHeight="1" x14ac:dyDescent="0.2">
      <c r="A29" s="122" t="s">
        <v>262</v>
      </c>
      <c r="B29" s="41" t="s">
        <v>263</v>
      </c>
      <c r="C29" s="221">
        <v>0</v>
      </c>
      <c r="D29" s="221">
        <v>3149.8</v>
      </c>
      <c r="E29" s="221">
        <v>776.2</v>
      </c>
      <c r="F29" s="221">
        <v>1774.8</v>
      </c>
      <c r="G29" s="221">
        <v>0</v>
      </c>
      <c r="H29" s="221">
        <v>1774.8</v>
      </c>
      <c r="I29" s="164">
        <f t="shared" si="2"/>
        <v>3.0000000000000001E-3</v>
      </c>
      <c r="J29" s="153"/>
      <c r="K29" s="153">
        <f t="shared" si="4"/>
        <v>1</v>
      </c>
      <c r="L29" s="154">
        <f t="shared" si="5"/>
        <v>-1375</v>
      </c>
      <c r="M29" s="153">
        <f t="shared" si="6"/>
        <v>0.56299999999999994</v>
      </c>
      <c r="N29" s="190">
        <f t="shared" si="9"/>
        <v>1774.8</v>
      </c>
      <c r="O29" s="19"/>
    </row>
    <row r="30" spans="1:15" s="20" customFormat="1" ht="18" customHeight="1" x14ac:dyDescent="0.2">
      <c r="A30" s="122" t="s">
        <v>176</v>
      </c>
      <c r="B30" s="41" t="s">
        <v>182</v>
      </c>
      <c r="C30" s="221">
        <v>0</v>
      </c>
      <c r="D30" s="221">
        <v>0</v>
      </c>
      <c r="E30" s="221">
        <v>2278.5</v>
      </c>
      <c r="F30" s="221">
        <v>0</v>
      </c>
      <c r="G30" s="221">
        <v>0</v>
      </c>
      <c r="H30" s="221">
        <v>50</v>
      </c>
      <c r="I30" s="164">
        <f t="shared" si="2"/>
        <v>0</v>
      </c>
      <c r="J30" s="153">
        <f t="shared" si="3"/>
        <v>2.1999999999999999E-2</v>
      </c>
      <c r="K30" s="153">
        <v>0</v>
      </c>
      <c r="L30" s="154">
        <f t="shared" si="5"/>
        <v>50</v>
      </c>
      <c r="M30" s="153">
        <v>0</v>
      </c>
      <c r="N30" s="190">
        <f t="shared" si="9"/>
        <v>50</v>
      </c>
      <c r="O30" s="19"/>
    </row>
    <row r="31" spans="1:15" s="16" customFormat="1" ht="27" x14ac:dyDescent="0.2">
      <c r="A31" s="40" t="s">
        <v>36</v>
      </c>
      <c r="B31" s="41" t="s">
        <v>2</v>
      </c>
      <c r="C31" s="93">
        <f>SUM(C32:C34)</f>
        <v>7603</v>
      </c>
      <c r="D31" s="93">
        <f t="shared" ref="D31:F31" si="23">SUM(D32:D34)</f>
        <v>71564.3</v>
      </c>
      <c r="E31" s="93">
        <f t="shared" si="23"/>
        <v>6373.9</v>
      </c>
      <c r="F31" s="93">
        <f t="shared" si="23"/>
        <v>6978.2</v>
      </c>
      <c r="G31" s="93">
        <f t="shared" ref="G31" si="24">SUM(G32:G34)</f>
        <v>6347.6</v>
      </c>
      <c r="H31" s="93">
        <f>SUM(H32:H34:H35)</f>
        <v>6901.1</v>
      </c>
      <c r="I31" s="164">
        <f t="shared" si="2"/>
        <v>0.01</v>
      </c>
      <c r="J31" s="153">
        <f t="shared" si="3"/>
        <v>1.083</v>
      </c>
      <c r="K31" s="153">
        <f t="shared" si="4"/>
        <v>0.98899999999999999</v>
      </c>
      <c r="L31" s="154">
        <f t="shared" si="5"/>
        <v>-64663.199999999997</v>
      </c>
      <c r="M31" s="153">
        <f t="shared" si="6"/>
        <v>9.6000000000000002E-2</v>
      </c>
      <c r="N31" s="190">
        <f t="shared" si="9"/>
        <v>553.5</v>
      </c>
      <c r="O31" s="18"/>
    </row>
    <row r="32" spans="1:15" s="16" customFormat="1" ht="94.5" x14ac:dyDescent="0.2">
      <c r="A32" s="11" t="s">
        <v>151</v>
      </c>
      <c r="B32" s="35" t="s">
        <v>109</v>
      </c>
      <c r="C32" s="111">
        <v>1228</v>
      </c>
      <c r="D32" s="22">
        <v>65189.3</v>
      </c>
      <c r="E32" s="22">
        <v>1205.0999999999999</v>
      </c>
      <c r="F32" s="22">
        <v>921.9</v>
      </c>
      <c r="G32" s="28">
        <v>1201.2</v>
      </c>
      <c r="H32" s="28">
        <v>907.5</v>
      </c>
      <c r="I32" s="158">
        <f t="shared" si="2"/>
        <v>1E-3</v>
      </c>
      <c r="J32" s="153">
        <f t="shared" si="3"/>
        <v>0.753</v>
      </c>
      <c r="K32" s="195">
        <f t="shared" si="4"/>
        <v>0.98399999999999999</v>
      </c>
      <c r="L32" s="191">
        <f t="shared" si="5"/>
        <v>-64281.8</v>
      </c>
      <c r="M32" s="153">
        <f t="shared" si="6"/>
        <v>1.4E-2</v>
      </c>
      <c r="N32" s="190">
        <f t="shared" si="9"/>
        <v>-293.7</v>
      </c>
      <c r="O32" s="18"/>
    </row>
    <row r="33" spans="1:15" s="16" customFormat="1" ht="54" x14ac:dyDescent="0.2">
      <c r="A33" s="11" t="s">
        <v>185</v>
      </c>
      <c r="B33" s="35" t="s">
        <v>40</v>
      </c>
      <c r="C33" s="111">
        <v>6375</v>
      </c>
      <c r="D33" s="22">
        <v>6375</v>
      </c>
      <c r="E33" s="22">
        <v>5168.8</v>
      </c>
      <c r="F33" s="22">
        <v>6056.3</v>
      </c>
      <c r="G33" s="28">
        <v>5146.3999999999996</v>
      </c>
      <c r="H33" s="28">
        <v>5528.9</v>
      </c>
      <c r="I33" s="158">
        <f t="shared" si="2"/>
        <v>8.0000000000000002E-3</v>
      </c>
      <c r="J33" s="153">
        <f>H33/E33</f>
        <v>1.07</v>
      </c>
      <c r="K33" s="195">
        <f t="shared" si="4"/>
        <v>0.91300000000000003</v>
      </c>
      <c r="L33" s="191">
        <f t="shared" si="5"/>
        <v>-846.1</v>
      </c>
      <c r="M33" s="153">
        <f t="shared" si="6"/>
        <v>0.86699999999999999</v>
      </c>
      <c r="N33" s="190">
        <f t="shared" si="9"/>
        <v>382.5</v>
      </c>
      <c r="O33" s="18"/>
    </row>
    <row r="34" spans="1:15" s="16" customFormat="1" ht="54" hidden="1" customHeight="1" x14ac:dyDescent="0.2">
      <c r="A34" s="11" t="s">
        <v>152</v>
      </c>
      <c r="B34" s="35" t="s">
        <v>127</v>
      </c>
      <c r="C34" s="92">
        <v>0</v>
      </c>
      <c r="D34" s="22">
        <v>0</v>
      </c>
      <c r="E34" s="22"/>
      <c r="F34" s="22"/>
      <c r="G34" s="28">
        <v>0</v>
      </c>
      <c r="H34" s="28">
        <v>0</v>
      </c>
      <c r="I34" s="158">
        <f t="shared" si="2"/>
        <v>0</v>
      </c>
      <c r="J34" s="153" t="e">
        <f t="shared" ref="J34:J39" si="25">H34/E34</f>
        <v>#DIV/0!</v>
      </c>
      <c r="K34" s="195" t="e">
        <f t="shared" si="4"/>
        <v>#DIV/0!</v>
      </c>
      <c r="L34" s="191">
        <f t="shared" si="5"/>
        <v>0</v>
      </c>
      <c r="M34" s="153" t="e">
        <f t="shared" si="6"/>
        <v>#DIV/0!</v>
      </c>
      <c r="N34" s="190">
        <f t="shared" si="9"/>
        <v>0</v>
      </c>
      <c r="O34" s="18"/>
    </row>
    <row r="35" spans="1:15" s="16" customFormat="1" ht="90" customHeight="1" x14ac:dyDescent="0.2">
      <c r="A35" s="11" t="s">
        <v>301</v>
      </c>
      <c r="B35" s="35" t="s">
        <v>302</v>
      </c>
      <c r="C35" s="28">
        <v>0</v>
      </c>
      <c r="D35" s="22">
        <v>0</v>
      </c>
      <c r="E35" s="22"/>
      <c r="F35" s="22">
        <v>0</v>
      </c>
      <c r="G35" s="28">
        <v>0</v>
      </c>
      <c r="H35" s="28">
        <v>464.7</v>
      </c>
      <c r="I35" s="158">
        <f>H35/Всего_доходов_2003</f>
        <v>1E-3</v>
      </c>
      <c r="J35" s="153" t="e">
        <f t="shared" si="25"/>
        <v>#DIV/0!</v>
      </c>
      <c r="K35" s="195">
        <v>0</v>
      </c>
      <c r="L35" s="191">
        <f t="shared" si="5"/>
        <v>464.7</v>
      </c>
      <c r="M35" s="153">
        <v>0</v>
      </c>
      <c r="N35" s="190">
        <f t="shared" si="9"/>
        <v>464.7</v>
      </c>
      <c r="O35" s="18"/>
    </row>
    <row r="36" spans="1:15" s="16" customFormat="1" ht="12.75" customHeight="1" x14ac:dyDescent="0.2">
      <c r="A36" s="37" t="s">
        <v>125</v>
      </c>
      <c r="B36" s="38" t="s">
        <v>126</v>
      </c>
      <c r="C36" s="94">
        <f>SUM(C37:C39)</f>
        <v>0</v>
      </c>
      <c r="D36" s="94">
        <f t="shared" ref="D36:H36" si="26">SUM(D37:D39)</f>
        <v>0</v>
      </c>
      <c r="E36" s="94">
        <f t="shared" si="26"/>
        <v>0</v>
      </c>
      <c r="F36" s="94">
        <f t="shared" si="26"/>
        <v>0</v>
      </c>
      <c r="G36" s="94">
        <f t="shared" ref="G36" si="27">SUM(G37:G39)</f>
        <v>86.7</v>
      </c>
      <c r="H36" s="94">
        <f t="shared" si="26"/>
        <v>42.4</v>
      </c>
      <c r="I36" s="164">
        <f t="shared" si="2"/>
        <v>0</v>
      </c>
      <c r="J36" s="153">
        <v>0</v>
      </c>
      <c r="K36" s="153">
        <v>0</v>
      </c>
      <c r="L36" s="154">
        <f t="shared" si="5"/>
        <v>42.4</v>
      </c>
      <c r="M36" s="153">
        <v>0</v>
      </c>
      <c r="N36" s="190">
        <f t="shared" si="9"/>
        <v>-44.3</v>
      </c>
      <c r="O36" s="18"/>
    </row>
    <row r="37" spans="1:15" s="16" customFormat="1" ht="40.5" hidden="1" customHeight="1" x14ac:dyDescent="0.2">
      <c r="A37" s="11" t="s">
        <v>191</v>
      </c>
      <c r="B37" s="35" t="s">
        <v>190</v>
      </c>
      <c r="C37" s="92">
        <v>0</v>
      </c>
      <c r="D37" s="22">
        <v>0</v>
      </c>
      <c r="E37" s="22"/>
      <c r="F37" s="22"/>
      <c r="G37" s="28">
        <v>0</v>
      </c>
      <c r="H37" s="28">
        <v>0</v>
      </c>
      <c r="I37" s="158">
        <f t="shared" si="2"/>
        <v>0</v>
      </c>
      <c r="J37" s="153" t="e">
        <f t="shared" si="25"/>
        <v>#DIV/0!</v>
      </c>
      <c r="K37" s="153" t="e">
        <f t="shared" si="4"/>
        <v>#DIV/0!</v>
      </c>
      <c r="L37" s="191">
        <f t="shared" si="5"/>
        <v>0</v>
      </c>
      <c r="M37" s="153" t="e">
        <f t="shared" si="6"/>
        <v>#DIV/0!</v>
      </c>
      <c r="N37" s="190">
        <f t="shared" si="9"/>
        <v>0</v>
      </c>
      <c r="O37" s="18"/>
    </row>
    <row r="38" spans="1:15" s="16" customFormat="1" ht="54" x14ac:dyDescent="0.2">
      <c r="A38" s="11" t="s">
        <v>264</v>
      </c>
      <c r="B38" s="35" t="s">
        <v>144</v>
      </c>
      <c r="C38" s="111">
        <v>0</v>
      </c>
      <c r="D38" s="22">
        <v>0</v>
      </c>
      <c r="E38" s="22">
        <v>0</v>
      </c>
      <c r="F38" s="22">
        <v>0</v>
      </c>
      <c r="G38" s="28">
        <v>86.7</v>
      </c>
      <c r="H38" s="28">
        <v>42.4</v>
      </c>
      <c r="I38" s="158">
        <f t="shared" si="2"/>
        <v>0</v>
      </c>
      <c r="J38" s="153">
        <v>0</v>
      </c>
      <c r="K38" s="195">
        <v>0</v>
      </c>
      <c r="L38" s="191">
        <f>H38-D38</f>
        <v>42.4</v>
      </c>
      <c r="M38" s="153">
        <v>0</v>
      </c>
      <c r="N38" s="190">
        <f t="shared" si="9"/>
        <v>-44.3</v>
      </c>
      <c r="O38" s="18"/>
    </row>
    <row r="39" spans="1:15" s="16" customFormat="1" ht="54" hidden="1" customHeight="1" x14ac:dyDescent="0.2">
      <c r="A39" s="11" t="s">
        <v>193</v>
      </c>
      <c r="B39" s="35" t="s">
        <v>192</v>
      </c>
      <c r="C39" s="92">
        <v>0</v>
      </c>
      <c r="D39" s="22">
        <v>0</v>
      </c>
      <c r="E39" s="22"/>
      <c r="F39" s="22"/>
      <c r="G39" s="28">
        <v>0</v>
      </c>
      <c r="H39" s="28">
        <v>0</v>
      </c>
      <c r="I39" s="158">
        <f t="shared" si="2"/>
        <v>0</v>
      </c>
      <c r="J39" s="153" t="e">
        <f t="shared" si="25"/>
        <v>#DIV/0!</v>
      </c>
      <c r="K39" s="153" t="e">
        <f t="shared" si="4"/>
        <v>#DIV/0!</v>
      </c>
      <c r="L39" s="191">
        <f t="shared" si="5"/>
        <v>0</v>
      </c>
      <c r="M39" s="153" t="e">
        <f t="shared" si="6"/>
        <v>#DIV/0!</v>
      </c>
      <c r="N39" s="190">
        <f t="shared" si="9"/>
        <v>0</v>
      </c>
      <c r="O39" s="18"/>
    </row>
    <row r="40" spans="1:15" s="16" customFormat="1" x14ac:dyDescent="0.2">
      <c r="A40" s="37" t="s">
        <v>3</v>
      </c>
      <c r="B40" s="38" t="s">
        <v>5</v>
      </c>
      <c r="C40" s="94">
        <f>SUM(C41:C42)</f>
        <v>0</v>
      </c>
      <c r="D40" s="94">
        <f>SUM(D41:D42)</f>
        <v>0</v>
      </c>
      <c r="E40" s="94">
        <f t="shared" ref="E40:F40" si="28">SUM(E41:E42)</f>
        <v>0</v>
      </c>
      <c r="F40" s="94">
        <f t="shared" si="28"/>
        <v>0</v>
      </c>
      <c r="G40" s="94">
        <f t="shared" ref="G40" si="29">SUM(G41:G42)</f>
        <v>0</v>
      </c>
      <c r="H40" s="94">
        <f>SUM(H41:H42)</f>
        <v>91.1</v>
      </c>
      <c r="I40" s="164">
        <f t="shared" si="2"/>
        <v>0</v>
      </c>
      <c r="J40" s="153">
        <v>0</v>
      </c>
      <c r="K40" s="153">
        <v>0</v>
      </c>
      <c r="L40" s="154">
        <f t="shared" si="5"/>
        <v>91.1</v>
      </c>
      <c r="M40" s="153">
        <v>0</v>
      </c>
      <c r="N40" s="190">
        <f t="shared" si="9"/>
        <v>91.1</v>
      </c>
      <c r="O40" s="18"/>
    </row>
    <row r="41" spans="1:15" s="16" customFormat="1" ht="27" x14ac:dyDescent="0.2">
      <c r="A41" s="11" t="s">
        <v>145</v>
      </c>
      <c r="B41" s="35" t="s">
        <v>47</v>
      </c>
      <c r="C41" s="111">
        <v>0</v>
      </c>
      <c r="D41" s="22">
        <v>0</v>
      </c>
      <c r="E41" s="22">
        <v>0</v>
      </c>
      <c r="F41" s="22">
        <v>0</v>
      </c>
      <c r="G41" s="28">
        <v>0</v>
      </c>
      <c r="H41" s="28">
        <v>24.8</v>
      </c>
      <c r="I41" s="158">
        <f t="shared" si="2"/>
        <v>0</v>
      </c>
      <c r="J41" s="153">
        <v>0</v>
      </c>
      <c r="K41" s="195">
        <v>0</v>
      </c>
      <c r="L41" s="191">
        <f t="shared" si="5"/>
        <v>24.8</v>
      </c>
      <c r="M41" s="153">
        <v>0</v>
      </c>
      <c r="N41" s="190">
        <f t="shared" si="9"/>
        <v>24.8</v>
      </c>
      <c r="O41" s="18"/>
    </row>
    <row r="42" spans="1:15" s="16" customFormat="1" ht="27" customHeight="1" x14ac:dyDescent="0.2">
      <c r="A42" s="11" t="s">
        <v>316</v>
      </c>
      <c r="B42" s="35" t="s">
        <v>315</v>
      </c>
      <c r="C42" s="28">
        <v>0</v>
      </c>
      <c r="D42" s="22">
        <v>0</v>
      </c>
      <c r="E42" s="22"/>
      <c r="F42" s="22">
        <v>0</v>
      </c>
      <c r="G42" s="28">
        <v>0</v>
      </c>
      <c r="H42" s="28">
        <v>66.3</v>
      </c>
      <c r="I42" s="158">
        <f>H42/Всего_доходов_2003</f>
        <v>0</v>
      </c>
      <c r="J42" s="153" t="e">
        <f t="shared" ref="J42:J66" si="30">H42/E42</f>
        <v>#DIV/0!</v>
      </c>
      <c r="K42" s="153">
        <v>0</v>
      </c>
      <c r="L42" s="191">
        <f t="shared" si="5"/>
        <v>66.3</v>
      </c>
      <c r="M42" s="153">
        <v>0</v>
      </c>
      <c r="N42" s="190">
        <f t="shared" si="9"/>
        <v>66.3</v>
      </c>
      <c r="O42" s="18"/>
    </row>
    <row r="43" spans="1:15" s="16" customFormat="1" x14ac:dyDescent="0.2">
      <c r="A43" s="37" t="s">
        <v>38</v>
      </c>
      <c r="B43" s="42" t="s">
        <v>4</v>
      </c>
      <c r="C43" s="94">
        <f t="shared" ref="C43:H43" si="31">SUM(C44,C46,C53,C60,C63)</f>
        <v>743559.3</v>
      </c>
      <c r="D43" s="94">
        <f t="shared" si="31"/>
        <v>845818.9</v>
      </c>
      <c r="E43" s="94">
        <f t="shared" si="31"/>
        <v>126801.9</v>
      </c>
      <c r="F43" s="94">
        <f t="shared" si="31"/>
        <v>315272.2</v>
      </c>
      <c r="G43" s="94">
        <f t="shared" si="31"/>
        <v>351179.6</v>
      </c>
      <c r="H43" s="94">
        <f t="shared" si="31"/>
        <v>315272.2</v>
      </c>
      <c r="I43" s="164">
        <f>H43/Всего_доходов_2003</f>
        <v>0.44800000000000001</v>
      </c>
      <c r="J43" s="153">
        <f t="shared" si="30"/>
        <v>2.4860000000000002</v>
      </c>
      <c r="K43" s="153">
        <f t="shared" si="4"/>
        <v>1</v>
      </c>
      <c r="L43" s="154">
        <f t="shared" si="5"/>
        <v>-530546.69999999995</v>
      </c>
      <c r="M43" s="153">
        <f t="shared" si="6"/>
        <v>0.373</v>
      </c>
      <c r="N43" s="190">
        <f t="shared" si="9"/>
        <v>-35907.4</v>
      </c>
      <c r="O43" s="18"/>
    </row>
    <row r="44" spans="1:15" s="16" customFormat="1" ht="27" x14ac:dyDescent="0.2">
      <c r="A44" s="43" t="s">
        <v>203</v>
      </c>
      <c r="B44" s="44" t="s">
        <v>168</v>
      </c>
      <c r="C44" s="94">
        <f>C45</f>
        <v>12972.7</v>
      </c>
      <c r="D44" s="94">
        <f t="shared" ref="D44:H44" si="32">D45</f>
        <v>12972.7</v>
      </c>
      <c r="E44" s="94">
        <f t="shared" si="32"/>
        <v>9010.9</v>
      </c>
      <c r="F44" s="94">
        <f t="shared" si="32"/>
        <v>9729.5</v>
      </c>
      <c r="G44" s="94">
        <f t="shared" si="32"/>
        <v>9010.9</v>
      </c>
      <c r="H44" s="94">
        <f t="shared" si="32"/>
        <v>9729.5</v>
      </c>
      <c r="I44" s="164">
        <f>H44/Всего_доходов_2003</f>
        <v>1.4E-2</v>
      </c>
      <c r="J44" s="153">
        <f t="shared" si="30"/>
        <v>1.08</v>
      </c>
      <c r="K44" s="153">
        <f t="shared" si="4"/>
        <v>1</v>
      </c>
      <c r="L44" s="154">
        <f t="shared" si="5"/>
        <v>-3243.2</v>
      </c>
      <c r="M44" s="153">
        <f t="shared" si="6"/>
        <v>0.75</v>
      </c>
      <c r="N44" s="190">
        <f t="shared" si="9"/>
        <v>718.6</v>
      </c>
      <c r="O44" s="18"/>
    </row>
    <row r="45" spans="1:15" s="16" customFormat="1" ht="27" x14ac:dyDescent="0.2">
      <c r="A45" s="45" t="s">
        <v>202</v>
      </c>
      <c r="B45" s="46" t="s">
        <v>169</v>
      </c>
      <c r="C45" s="111">
        <v>12972.7</v>
      </c>
      <c r="D45" s="111">
        <v>12972.7</v>
      </c>
      <c r="E45" s="28">
        <v>9010.9</v>
      </c>
      <c r="F45" s="28">
        <v>9729.5</v>
      </c>
      <c r="G45" s="28">
        <v>9010.9</v>
      </c>
      <c r="H45" s="28">
        <v>9729.5</v>
      </c>
      <c r="I45" s="158">
        <f>H45/Всего_доходов_2003</f>
        <v>1.4E-2</v>
      </c>
      <c r="J45" s="153">
        <f t="shared" si="30"/>
        <v>1.08</v>
      </c>
      <c r="K45" s="195">
        <f t="shared" si="4"/>
        <v>1</v>
      </c>
      <c r="L45" s="191">
        <f t="shared" si="5"/>
        <v>-3243.2</v>
      </c>
      <c r="M45" s="153">
        <f t="shared" si="6"/>
        <v>0.75</v>
      </c>
      <c r="N45" s="190">
        <f t="shared" si="9"/>
        <v>718.6</v>
      </c>
      <c r="O45" s="18"/>
    </row>
    <row r="46" spans="1:15" s="16" customFormat="1" ht="40.5" customHeight="1" x14ac:dyDescent="0.2">
      <c r="A46" s="47" t="s">
        <v>209</v>
      </c>
      <c r="B46" s="42" t="s">
        <v>110</v>
      </c>
      <c r="C46" s="94">
        <f>SUM(C47:C51)</f>
        <v>111019.4</v>
      </c>
      <c r="D46" s="94">
        <f>SUM(D47:D51:D52)</f>
        <v>211019.4</v>
      </c>
      <c r="E46" s="94">
        <f>SUM(E47:E51)</f>
        <v>106243.5</v>
      </c>
      <c r="F46" s="94">
        <f>SUM(F47:F51)</f>
        <v>35337.9</v>
      </c>
      <c r="G46" s="94">
        <f>SUM(G47:G51)</f>
        <v>106243.5</v>
      </c>
      <c r="H46" s="94">
        <f>SUM(H47:H51)</f>
        <v>35337.9</v>
      </c>
      <c r="I46" s="164">
        <f>H46/Всего_доходов_2003</f>
        <v>0.05</v>
      </c>
      <c r="J46" s="153">
        <f t="shared" si="30"/>
        <v>0.33300000000000002</v>
      </c>
      <c r="K46" s="153">
        <f t="shared" si="4"/>
        <v>1</v>
      </c>
      <c r="L46" s="154">
        <f t="shared" si="5"/>
        <v>-175681.5</v>
      </c>
      <c r="M46" s="153">
        <f t="shared" si="6"/>
        <v>0.16700000000000001</v>
      </c>
      <c r="N46" s="190">
        <f t="shared" si="9"/>
        <v>-70905.600000000006</v>
      </c>
      <c r="O46" s="18"/>
    </row>
    <row r="47" spans="1:15" s="20" customFormat="1" ht="60" customHeight="1" x14ac:dyDescent="0.25">
      <c r="A47" s="84" t="s">
        <v>201</v>
      </c>
      <c r="B47" s="83" t="s">
        <v>187</v>
      </c>
      <c r="C47" s="111">
        <v>96731.5</v>
      </c>
      <c r="D47" s="111">
        <v>96731.5</v>
      </c>
      <c r="E47" s="28">
        <v>67574.3</v>
      </c>
      <c r="F47" s="28">
        <v>28810</v>
      </c>
      <c r="G47" s="28">
        <v>67574.3</v>
      </c>
      <c r="H47" s="28">
        <v>28810</v>
      </c>
      <c r="I47" s="158">
        <f t="shared" ref="I47:I53" si="33">H47/Всего_доходов_2003</f>
        <v>4.1000000000000002E-2</v>
      </c>
      <c r="J47" s="153">
        <f t="shared" si="30"/>
        <v>0.42599999999999999</v>
      </c>
      <c r="K47" s="195">
        <f t="shared" si="4"/>
        <v>1</v>
      </c>
      <c r="L47" s="191">
        <f>H47-D47</f>
        <v>-67921.5</v>
      </c>
      <c r="M47" s="153">
        <f>H47/D47</f>
        <v>0.29799999999999999</v>
      </c>
      <c r="N47" s="190">
        <f t="shared" si="9"/>
        <v>-38764.300000000003</v>
      </c>
    </row>
    <row r="48" spans="1:15" s="20" customFormat="1" ht="56.25" customHeight="1" x14ac:dyDescent="0.25">
      <c r="A48" s="84" t="s">
        <v>210</v>
      </c>
      <c r="B48" s="83" t="s">
        <v>211</v>
      </c>
      <c r="C48" s="111">
        <v>0</v>
      </c>
      <c r="D48" s="111">
        <v>0</v>
      </c>
      <c r="E48" s="28">
        <v>20909.2</v>
      </c>
      <c r="F48" s="28">
        <v>0</v>
      </c>
      <c r="G48" s="28">
        <v>20909.2</v>
      </c>
      <c r="H48" s="28">
        <v>0</v>
      </c>
      <c r="I48" s="158">
        <f t="shared" si="33"/>
        <v>0</v>
      </c>
      <c r="J48" s="153">
        <f t="shared" si="30"/>
        <v>0</v>
      </c>
      <c r="K48" s="195">
        <v>0</v>
      </c>
      <c r="L48" s="191">
        <f t="shared" ref="L48:L66" si="34">H48-D48</f>
        <v>0</v>
      </c>
      <c r="M48" s="195">
        <v>0</v>
      </c>
      <c r="N48" s="190">
        <f t="shared" si="9"/>
        <v>-20909.2</v>
      </c>
    </row>
    <row r="49" spans="1:18" s="20" customFormat="1" ht="61.5" hidden="1" customHeight="1" x14ac:dyDescent="0.25">
      <c r="A49" s="84" t="s">
        <v>227</v>
      </c>
      <c r="B49" s="83" t="s">
        <v>228</v>
      </c>
      <c r="C49" s="111">
        <v>0</v>
      </c>
      <c r="D49" s="111">
        <v>0</v>
      </c>
      <c r="E49" s="28">
        <v>0</v>
      </c>
      <c r="F49" s="28">
        <v>0</v>
      </c>
      <c r="G49" s="28">
        <v>0</v>
      </c>
      <c r="H49" s="28">
        <v>0</v>
      </c>
      <c r="I49" s="158">
        <f t="shared" si="33"/>
        <v>0</v>
      </c>
      <c r="J49" s="153">
        <v>0</v>
      </c>
      <c r="K49" s="153" t="e">
        <f t="shared" si="4"/>
        <v>#DIV/0!</v>
      </c>
      <c r="L49" s="191">
        <f t="shared" si="34"/>
        <v>0</v>
      </c>
      <c r="M49" s="153" t="e">
        <f t="shared" si="6"/>
        <v>#DIV/0!</v>
      </c>
      <c r="N49" s="190">
        <f t="shared" si="9"/>
        <v>0</v>
      </c>
    </row>
    <row r="50" spans="1:18" s="20" customFormat="1" ht="44.25" customHeight="1" x14ac:dyDescent="0.25">
      <c r="A50" s="84" t="s">
        <v>212</v>
      </c>
      <c r="B50" s="83" t="s">
        <v>213</v>
      </c>
      <c r="C50" s="111">
        <v>14287.9</v>
      </c>
      <c r="D50" s="111">
        <v>14287.9</v>
      </c>
      <c r="E50" s="28">
        <v>2760</v>
      </c>
      <c r="F50" s="28">
        <v>6527.9</v>
      </c>
      <c r="G50" s="28">
        <v>2760</v>
      </c>
      <c r="H50" s="28">
        <v>6527.9</v>
      </c>
      <c r="I50" s="158">
        <f t="shared" si="33"/>
        <v>8.9999999999999993E-3</v>
      </c>
      <c r="J50" s="153">
        <f t="shared" si="30"/>
        <v>2.3650000000000002</v>
      </c>
      <c r="K50" s="195">
        <f t="shared" si="4"/>
        <v>1</v>
      </c>
      <c r="L50" s="191">
        <f t="shared" si="34"/>
        <v>-7760</v>
      </c>
      <c r="M50" s="195">
        <f t="shared" si="6"/>
        <v>0.45700000000000002</v>
      </c>
      <c r="N50" s="190">
        <f t="shared" si="9"/>
        <v>3767.9</v>
      </c>
    </row>
    <row r="51" spans="1:18" s="20" customFormat="1" ht="87.75" customHeight="1" x14ac:dyDescent="0.25">
      <c r="A51" s="84" t="s">
        <v>208</v>
      </c>
      <c r="B51" s="83" t="s">
        <v>184</v>
      </c>
      <c r="C51" s="111">
        <v>0</v>
      </c>
      <c r="D51" s="111">
        <v>0</v>
      </c>
      <c r="E51" s="28">
        <v>15000</v>
      </c>
      <c r="F51" s="28">
        <v>0</v>
      </c>
      <c r="G51" s="28">
        <v>15000</v>
      </c>
      <c r="H51" s="28">
        <v>0</v>
      </c>
      <c r="I51" s="158">
        <f t="shared" si="33"/>
        <v>0</v>
      </c>
      <c r="J51" s="153">
        <f t="shared" si="30"/>
        <v>0</v>
      </c>
      <c r="K51" s="195">
        <v>0</v>
      </c>
      <c r="L51" s="191">
        <f>H51-D51</f>
        <v>0</v>
      </c>
      <c r="M51" s="195">
        <v>0</v>
      </c>
      <c r="N51" s="190">
        <f t="shared" si="9"/>
        <v>-15000</v>
      </c>
      <c r="R51" s="20" t="s">
        <v>268</v>
      </c>
    </row>
    <row r="52" spans="1:18" s="20" customFormat="1" ht="90.75" customHeight="1" x14ac:dyDescent="0.25">
      <c r="A52" s="84" t="s">
        <v>311</v>
      </c>
      <c r="B52" s="83" t="s">
        <v>312</v>
      </c>
      <c r="C52" s="111">
        <v>0</v>
      </c>
      <c r="D52" s="111">
        <v>100000</v>
      </c>
      <c r="E52" s="28"/>
      <c r="F52" s="28">
        <v>0</v>
      </c>
      <c r="G52" s="28">
        <v>0</v>
      </c>
      <c r="H52" s="28">
        <v>0</v>
      </c>
      <c r="I52" s="158">
        <f t="shared" si="33"/>
        <v>0</v>
      </c>
      <c r="J52" s="153"/>
      <c r="K52" s="195">
        <v>0</v>
      </c>
      <c r="L52" s="191">
        <f>H52-D52</f>
        <v>-100000</v>
      </c>
      <c r="M52" s="195">
        <f t="shared" si="6"/>
        <v>0</v>
      </c>
      <c r="N52" s="190">
        <f t="shared" si="9"/>
        <v>0</v>
      </c>
    </row>
    <row r="53" spans="1:18" s="20" customFormat="1" ht="13.5" customHeight="1" x14ac:dyDescent="0.25">
      <c r="A53" s="102" t="s">
        <v>200</v>
      </c>
      <c r="B53" s="103" t="s">
        <v>173</v>
      </c>
      <c r="C53" s="95">
        <f>SUM(C54:C59)</f>
        <v>619567.19999999995</v>
      </c>
      <c r="D53" s="95">
        <f t="shared" ref="D53:H53" si="35">SUM(D54:D59)</f>
        <v>621617.69999999995</v>
      </c>
      <c r="E53" s="95">
        <f t="shared" si="35"/>
        <v>10500.2</v>
      </c>
      <c r="F53" s="95">
        <f t="shared" si="35"/>
        <v>270341.8</v>
      </c>
      <c r="G53" s="95">
        <f t="shared" si="35"/>
        <v>234677.9</v>
      </c>
      <c r="H53" s="95">
        <f t="shared" si="35"/>
        <v>270341.8</v>
      </c>
      <c r="I53" s="164">
        <f t="shared" si="33"/>
        <v>0.38400000000000001</v>
      </c>
      <c r="J53" s="153">
        <f t="shared" si="30"/>
        <v>25.745999999999999</v>
      </c>
      <c r="K53" s="153">
        <f t="shared" si="4"/>
        <v>1</v>
      </c>
      <c r="L53" s="154">
        <f t="shared" si="34"/>
        <v>-351275.9</v>
      </c>
      <c r="M53" s="153">
        <f t="shared" si="6"/>
        <v>0.435</v>
      </c>
      <c r="N53" s="190">
        <f t="shared" si="9"/>
        <v>35663.9</v>
      </c>
    </row>
    <row r="54" spans="1:18" s="20" customFormat="1" ht="73.5" customHeight="1" x14ac:dyDescent="0.25">
      <c r="A54" s="84" t="s">
        <v>267</v>
      </c>
      <c r="B54" s="83" t="s">
        <v>269</v>
      </c>
      <c r="C54" s="111">
        <v>599900</v>
      </c>
      <c r="D54" s="111">
        <v>599900</v>
      </c>
      <c r="E54" s="111"/>
      <c r="F54" s="111">
        <v>256205.8</v>
      </c>
      <c r="G54" s="111">
        <v>224177.7</v>
      </c>
      <c r="H54" s="111">
        <v>256205.8</v>
      </c>
      <c r="I54" s="135">
        <f t="shared" ref="I54:I66" si="36">H54/Всего_доходов_2003</f>
        <v>0.36399999999999999</v>
      </c>
      <c r="J54" s="195"/>
      <c r="K54" s="195">
        <f t="shared" si="4"/>
        <v>1</v>
      </c>
      <c r="L54" s="191">
        <f>H54-D54</f>
        <v>-343694.2</v>
      </c>
      <c r="M54" s="195">
        <f t="shared" ref="M54:M58" si="37">H54/D54</f>
        <v>0.42699999999999999</v>
      </c>
      <c r="N54" s="187">
        <f t="shared" ref="N54:N58" si="38">H54-G54</f>
        <v>32028.1</v>
      </c>
    </row>
    <row r="55" spans="1:18" s="20" customFormat="1" ht="50.25" hidden="1" customHeight="1" x14ac:dyDescent="0.25">
      <c r="A55" s="84" t="s">
        <v>308</v>
      </c>
      <c r="B55" s="121" t="s">
        <v>186</v>
      </c>
      <c r="C55" s="111">
        <v>0</v>
      </c>
      <c r="D55" s="111">
        <v>0</v>
      </c>
      <c r="E55" s="111"/>
      <c r="F55" s="111">
        <v>0</v>
      </c>
      <c r="G55" s="111">
        <v>0</v>
      </c>
      <c r="H55" s="111">
        <v>0</v>
      </c>
      <c r="I55" s="135">
        <f t="shared" ref="I55" si="39">H55/Всего_доходов_2003</f>
        <v>0</v>
      </c>
      <c r="J55" s="195"/>
      <c r="K55" s="195">
        <v>0</v>
      </c>
      <c r="L55" s="191">
        <f>H55-D55</f>
        <v>0</v>
      </c>
      <c r="M55" s="195">
        <v>0</v>
      </c>
      <c r="N55" s="187">
        <f t="shared" ref="N55" si="40">H55-G55</f>
        <v>0</v>
      </c>
    </row>
    <row r="56" spans="1:18" s="20" customFormat="1" ht="46.5" hidden="1" customHeight="1" x14ac:dyDescent="0.25">
      <c r="A56" s="84" t="s">
        <v>265</v>
      </c>
      <c r="B56" s="121" t="s">
        <v>186</v>
      </c>
      <c r="C56" s="111">
        <v>0</v>
      </c>
      <c r="D56" s="111">
        <v>0</v>
      </c>
      <c r="E56" s="111"/>
      <c r="F56" s="111">
        <v>0</v>
      </c>
      <c r="G56" s="111">
        <v>0</v>
      </c>
      <c r="H56" s="111">
        <v>0</v>
      </c>
      <c r="I56" s="135">
        <f t="shared" si="36"/>
        <v>0</v>
      </c>
      <c r="J56" s="195"/>
      <c r="K56" s="153" t="e">
        <f t="shared" si="4"/>
        <v>#DIV/0!</v>
      </c>
      <c r="L56" s="191">
        <f t="shared" ref="L56:L58" si="41">H56-D56</f>
        <v>0</v>
      </c>
      <c r="M56" s="195">
        <v>0</v>
      </c>
      <c r="N56" s="187">
        <f t="shared" si="38"/>
        <v>0</v>
      </c>
    </row>
    <row r="57" spans="1:18" s="20" customFormat="1" ht="204.75" customHeight="1" x14ac:dyDescent="0.25">
      <c r="A57" s="84" t="s">
        <v>266</v>
      </c>
      <c r="B57" s="121" t="s">
        <v>270</v>
      </c>
      <c r="C57" s="111">
        <v>19667.2</v>
      </c>
      <c r="D57" s="111">
        <v>21287.7</v>
      </c>
      <c r="E57" s="28">
        <v>10075.200000000001</v>
      </c>
      <c r="F57" s="28">
        <v>13806</v>
      </c>
      <c r="G57" s="28">
        <v>10075.200000000001</v>
      </c>
      <c r="H57" s="28">
        <v>13806</v>
      </c>
      <c r="I57" s="135">
        <f t="shared" si="36"/>
        <v>0.02</v>
      </c>
      <c r="J57" s="153">
        <f t="shared" ref="J57" si="42">H57/E57</f>
        <v>1.37</v>
      </c>
      <c r="K57" s="195">
        <f t="shared" si="4"/>
        <v>1</v>
      </c>
      <c r="L57" s="191">
        <f t="shared" si="41"/>
        <v>-7481.7</v>
      </c>
      <c r="M57" s="195">
        <f t="shared" si="37"/>
        <v>0.64900000000000002</v>
      </c>
      <c r="N57" s="187">
        <f t="shared" si="38"/>
        <v>3730.8</v>
      </c>
    </row>
    <row r="58" spans="1:18" s="20" customFormat="1" ht="51.75" customHeight="1" x14ac:dyDescent="0.25">
      <c r="A58" s="84" t="s">
        <v>313</v>
      </c>
      <c r="B58" s="121" t="s">
        <v>314</v>
      </c>
      <c r="C58" s="111">
        <v>0</v>
      </c>
      <c r="D58" s="111">
        <v>430</v>
      </c>
      <c r="E58" s="28"/>
      <c r="F58" s="28">
        <v>330</v>
      </c>
      <c r="G58" s="28">
        <v>0</v>
      </c>
      <c r="H58" s="28">
        <v>330</v>
      </c>
      <c r="I58" s="135">
        <f>H58/Всего_доходов_2003</f>
        <v>0</v>
      </c>
      <c r="J58" s="153"/>
      <c r="K58" s="195">
        <f t="shared" si="4"/>
        <v>1</v>
      </c>
      <c r="L58" s="191">
        <f t="shared" si="41"/>
        <v>-100</v>
      </c>
      <c r="M58" s="195">
        <f t="shared" si="37"/>
        <v>0.76700000000000002</v>
      </c>
      <c r="N58" s="187">
        <f t="shared" si="38"/>
        <v>330</v>
      </c>
    </row>
    <row r="59" spans="1:18" s="20" customFormat="1" ht="67.5" customHeight="1" x14ac:dyDescent="0.25">
      <c r="A59" s="84" t="s">
        <v>236</v>
      </c>
      <c r="B59" s="121" t="s">
        <v>235</v>
      </c>
      <c r="C59" s="111">
        <v>0</v>
      </c>
      <c r="D59" s="111">
        <v>0</v>
      </c>
      <c r="E59" s="28">
        <v>425</v>
      </c>
      <c r="F59" s="28">
        <v>0</v>
      </c>
      <c r="G59" s="28">
        <v>425</v>
      </c>
      <c r="H59" s="28">
        <v>0</v>
      </c>
      <c r="I59" s="135">
        <f t="shared" si="36"/>
        <v>0</v>
      </c>
      <c r="J59" s="153">
        <f t="shared" si="30"/>
        <v>0</v>
      </c>
      <c r="K59" s="195">
        <v>0</v>
      </c>
      <c r="L59" s="191">
        <f t="shared" si="34"/>
        <v>0</v>
      </c>
      <c r="M59" s="195">
        <v>0</v>
      </c>
      <c r="N59" s="187">
        <f t="shared" si="9"/>
        <v>-425</v>
      </c>
    </row>
    <row r="60" spans="1:18" s="16" customFormat="1" x14ac:dyDescent="0.2">
      <c r="A60" s="47" t="s">
        <v>206</v>
      </c>
      <c r="B60" s="42" t="s">
        <v>205</v>
      </c>
      <c r="C60" s="95">
        <f>C61+C62</f>
        <v>0</v>
      </c>
      <c r="D60" s="95">
        <f t="shared" ref="D60:H60" si="43">D61+D62</f>
        <v>198.7</v>
      </c>
      <c r="E60" s="95">
        <f t="shared" si="43"/>
        <v>1047.3</v>
      </c>
      <c r="F60" s="95">
        <f t="shared" si="43"/>
        <v>-147.4</v>
      </c>
      <c r="G60" s="95">
        <f t="shared" si="43"/>
        <v>1047.3</v>
      </c>
      <c r="H60" s="95">
        <f t="shared" si="43"/>
        <v>-147.4</v>
      </c>
      <c r="I60" s="95">
        <f t="shared" si="36"/>
        <v>0</v>
      </c>
      <c r="J60" s="153">
        <f t="shared" si="30"/>
        <v>-0.14099999999999999</v>
      </c>
      <c r="K60" s="195">
        <f t="shared" si="4"/>
        <v>1</v>
      </c>
      <c r="L60" s="154">
        <f t="shared" si="34"/>
        <v>-346.1</v>
      </c>
      <c r="M60" s="153">
        <f>H60/D60</f>
        <v>-0.74199999999999999</v>
      </c>
      <c r="N60" s="190">
        <f t="shared" si="9"/>
        <v>-1194.7</v>
      </c>
      <c r="O60" s="18"/>
    </row>
    <row r="61" spans="1:18" s="16" customFormat="1" ht="27" x14ac:dyDescent="0.2">
      <c r="A61" s="181" t="s">
        <v>237</v>
      </c>
      <c r="B61" s="182" t="s">
        <v>204</v>
      </c>
      <c r="C61" s="111">
        <v>0</v>
      </c>
      <c r="D61" s="111">
        <v>0</v>
      </c>
      <c r="E61" s="28">
        <v>900</v>
      </c>
      <c r="F61" s="28">
        <v>0</v>
      </c>
      <c r="G61" s="111">
        <v>900</v>
      </c>
      <c r="H61" s="111">
        <v>0</v>
      </c>
      <c r="I61" s="158">
        <f t="shared" si="36"/>
        <v>0</v>
      </c>
      <c r="J61" s="153">
        <f t="shared" si="30"/>
        <v>0</v>
      </c>
      <c r="K61" s="195">
        <v>0</v>
      </c>
      <c r="L61" s="191">
        <f t="shared" si="34"/>
        <v>0</v>
      </c>
      <c r="M61" s="195">
        <v>0</v>
      </c>
      <c r="N61" s="190">
        <f t="shared" si="9"/>
        <v>-900</v>
      </c>
      <c r="O61" s="18"/>
    </row>
    <row r="62" spans="1:18" s="16" customFormat="1" ht="27" x14ac:dyDescent="0.2">
      <c r="A62" s="181" t="s">
        <v>207</v>
      </c>
      <c r="B62" s="182" t="s">
        <v>204</v>
      </c>
      <c r="C62" s="111">
        <v>0</v>
      </c>
      <c r="D62" s="111">
        <v>198.7</v>
      </c>
      <c r="E62" s="28">
        <v>147.30000000000001</v>
      </c>
      <c r="F62" s="28">
        <v>-147.4</v>
      </c>
      <c r="G62" s="111">
        <v>147.30000000000001</v>
      </c>
      <c r="H62" s="111">
        <v>-147.4</v>
      </c>
      <c r="I62" s="158">
        <f t="shared" si="36"/>
        <v>0</v>
      </c>
      <c r="J62" s="153">
        <f t="shared" si="30"/>
        <v>-1.0009999999999999</v>
      </c>
      <c r="K62" s="195">
        <f t="shared" si="4"/>
        <v>1</v>
      </c>
      <c r="L62" s="191">
        <f t="shared" si="34"/>
        <v>-346.1</v>
      </c>
      <c r="M62" s="195">
        <f t="shared" si="6"/>
        <v>-0.74199999999999999</v>
      </c>
      <c r="N62" s="190">
        <f t="shared" si="9"/>
        <v>-294.7</v>
      </c>
      <c r="O62" s="18"/>
    </row>
    <row r="63" spans="1:18" s="16" customFormat="1" ht="81" x14ac:dyDescent="0.2">
      <c r="A63" s="47" t="s">
        <v>229</v>
      </c>
      <c r="B63" s="42" t="s">
        <v>230</v>
      </c>
      <c r="C63" s="95">
        <f>C65</f>
        <v>0</v>
      </c>
      <c r="D63" s="95">
        <f t="shared" ref="D63:H63" si="44">D65</f>
        <v>10.4</v>
      </c>
      <c r="E63" s="95">
        <f t="shared" si="44"/>
        <v>0</v>
      </c>
      <c r="F63" s="95">
        <f t="shared" si="44"/>
        <v>10.4</v>
      </c>
      <c r="G63" s="95">
        <f>G64+G65</f>
        <v>200</v>
      </c>
      <c r="H63" s="95">
        <f t="shared" si="44"/>
        <v>10.4</v>
      </c>
      <c r="I63" s="164">
        <f>H63/Всего_доходов_2003</f>
        <v>0</v>
      </c>
      <c r="J63" s="153">
        <v>0</v>
      </c>
      <c r="K63" s="153">
        <f t="shared" si="4"/>
        <v>1</v>
      </c>
      <c r="L63" s="177">
        <f t="shared" si="34"/>
        <v>0</v>
      </c>
      <c r="M63" s="153">
        <f t="shared" si="6"/>
        <v>1</v>
      </c>
      <c r="N63" s="190">
        <f t="shared" si="9"/>
        <v>-189.6</v>
      </c>
      <c r="O63" s="18"/>
    </row>
    <row r="64" spans="1:18" s="16" customFormat="1" ht="39.75" customHeight="1" x14ac:dyDescent="0.2">
      <c r="A64" s="45" t="s">
        <v>309</v>
      </c>
      <c r="B64" s="46" t="s">
        <v>310</v>
      </c>
      <c r="C64" s="28">
        <v>0</v>
      </c>
      <c r="D64" s="28">
        <v>0</v>
      </c>
      <c r="E64" s="28"/>
      <c r="F64" s="28">
        <v>0</v>
      </c>
      <c r="G64" s="28">
        <v>200</v>
      </c>
      <c r="H64" s="28">
        <v>0</v>
      </c>
      <c r="I64" s="135">
        <v>0</v>
      </c>
      <c r="J64" s="153"/>
      <c r="K64" s="153">
        <v>0</v>
      </c>
      <c r="L64" s="177">
        <f t="shared" ref="L64" si="45">H64-D64</f>
        <v>0</v>
      </c>
      <c r="M64" s="153">
        <v>0</v>
      </c>
      <c r="N64" s="190">
        <f t="shared" ref="N64" si="46">H64-G64</f>
        <v>-200</v>
      </c>
      <c r="O64" s="18"/>
    </row>
    <row r="65" spans="1:15" s="16" customFormat="1" ht="27" x14ac:dyDescent="0.2">
      <c r="A65" s="45" t="s">
        <v>298</v>
      </c>
      <c r="B65" s="46" t="s">
        <v>299</v>
      </c>
      <c r="C65" s="111">
        <v>0</v>
      </c>
      <c r="D65" s="111">
        <v>10.4</v>
      </c>
      <c r="E65" s="28">
        <v>0</v>
      </c>
      <c r="F65" s="28">
        <v>10.4</v>
      </c>
      <c r="G65" s="111">
        <v>0</v>
      </c>
      <c r="H65" s="111">
        <v>10.4</v>
      </c>
      <c r="I65" s="158">
        <f>H65/Всего_доходов_2003</f>
        <v>0</v>
      </c>
      <c r="J65" s="153">
        <v>0</v>
      </c>
      <c r="K65" s="195">
        <f t="shared" si="4"/>
        <v>1</v>
      </c>
      <c r="L65" s="176">
        <f t="shared" si="34"/>
        <v>0</v>
      </c>
      <c r="M65" s="153">
        <f t="shared" si="6"/>
        <v>1</v>
      </c>
      <c r="N65" s="187">
        <f t="shared" si="9"/>
        <v>10.4</v>
      </c>
      <c r="O65" s="18"/>
    </row>
    <row r="66" spans="1:15" s="21" customFormat="1" x14ac:dyDescent="0.2">
      <c r="A66" s="89"/>
      <c r="B66" s="161" t="s">
        <v>6</v>
      </c>
      <c r="C66" s="162">
        <f t="shared" ref="C66:H66" si="47">C6+C43</f>
        <v>1387589.7</v>
      </c>
      <c r="D66" s="162">
        <f t="shared" si="47"/>
        <v>1556960.4</v>
      </c>
      <c r="E66" s="162">
        <f t="shared" si="47"/>
        <v>628535.9</v>
      </c>
      <c r="F66" s="162">
        <f t="shared" si="47"/>
        <v>707715.2</v>
      </c>
      <c r="G66" s="162">
        <f t="shared" si="47"/>
        <v>848996.3</v>
      </c>
      <c r="H66" s="162">
        <f t="shared" si="47"/>
        <v>704268.3</v>
      </c>
      <c r="I66" s="64">
        <f t="shared" si="36"/>
        <v>1</v>
      </c>
      <c r="J66" s="153">
        <f t="shared" si="30"/>
        <v>1.1200000000000001</v>
      </c>
      <c r="K66" s="153">
        <f t="shared" si="4"/>
        <v>0.995</v>
      </c>
      <c r="L66" s="154">
        <f t="shared" si="34"/>
        <v>-852692.1</v>
      </c>
      <c r="M66" s="153">
        <f t="shared" si="6"/>
        <v>0.45200000000000001</v>
      </c>
      <c r="N66" s="190">
        <f t="shared" si="9"/>
        <v>-144728</v>
      </c>
      <c r="O66" s="183"/>
    </row>
    <row r="67" spans="1:15" s="9" customFormat="1" x14ac:dyDescent="0.2">
      <c r="A67" s="31"/>
      <c r="B67" s="4"/>
      <c r="C67" s="178"/>
      <c r="D67" s="173"/>
      <c r="E67" s="173"/>
      <c r="F67" s="173"/>
      <c r="G67" s="157"/>
      <c r="H67" s="157"/>
      <c r="I67" s="136"/>
      <c r="J67" s="153"/>
      <c r="K67" s="153"/>
      <c r="L67" s="192"/>
      <c r="M67" s="153"/>
      <c r="N67" s="193"/>
    </row>
    <row r="68" spans="1:15" ht="16.5" x14ac:dyDescent="0.2">
      <c r="A68" s="13" t="s">
        <v>9</v>
      </c>
      <c r="B68" s="217" t="s">
        <v>7</v>
      </c>
      <c r="C68" s="4"/>
      <c r="D68" s="173"/>
      <c r="E68" s="173"/>
      <c r="F68" s="173"/>
      <c r="G68" s="90"/>
      <c r="H68" s="90"/>
      <c r="I68" s="137"/>
      <c r="J68" s="153"/>
      <c r="K68" s="153"/>
      <c r="L68" s="185"/>
      <c r="M68" s="153"/>
      <c r="N68" s="194"/>
    </row>
    <row r="69" spans="1:15" s="21" customFormat="1" x14ac:dyDescent="0.2">
      <c r="A69" s="62" t="s">
        <v>20</v>
      </c>
      <c r="B69" s="163" t="s">
        <v>24</v>
      </c>
      <c r="C69" s="63">
        <f>C70+C71+C72+C75+C78+C79</f>
        <v>12799.3</v>
      </c>
      <c r="D69" s="63">
        <f>D70+D71+D72+D75+D78+D79</f>
        <v>15865.9</v>
      </c>
      <c r="E69" s="63">
        <f t="shared" ref="E69" si="48">E70+E71+E72+E75+E78+E79</f>
        <v>101188.6</v>
      </c>
      <c r="F69" s="63">
        <f>F70+F71+F72+F79+F78</f>
        <v>10743.5</v>
      </c>
      <c r="G69" s="63">
        <f>G70+G71+G72+G79+G78+G75</f>
        <v>101188.6</v>
      </c>
      <c r="H69" s="63">
        <f>H70+H71+H72+H79+H78</f>
        <v>10743.5</v>
      </c>
      <c r="I69" s="64">
        <f>H69/H228</f>
        <v>1.4999999999999999E-2</v>
      </c>
      <c r="J69" s="153">
        <f>H69/E69</f>
        <v>0.106</v>
      </c>
      <c r="K69" s="153">
        <f t="shared" si="4"/>
        <v>1</v>
      </c>
      <c r="L69" s="154">
        <f>H69-D69</f>
        <v>-5122.3999999999996</v>
      </c>
      <c r="M69" s="153">
        <f t="shared" si="6"/>
        <v>0.67700000000000005</v>
      </c>
      <c r="N69" s="155">
        <f>H69-G69</f>
        <v>-90445.1</v>
      </c>
    </row>
    <row r="70" spans="1:15" ht="40.5" x14ac:dyDescent="0.2">
      <c r="A70" s="12" t="s">
        <v>44</v>
      </c>
      <c r="B70" s="8" t="s">
        <v>52</v>
      </c>
      <c r="C70" s="131">
        <v>1994.9</v>
      </c>
      <c r="D70" s="131">
        <v>1994.9</v>
      </c>
      <c r="E70" s="131">
        <v>1270.4000000000001</v>
      </c>
      <c r="F70" s="131">
        <v>1556.2</v>
      </c>
      <c r="G70" s="5">
        <v>1270.4000000000001</v>
      </c>
      <c r="H70" s="131">
        <v>1556.2</v>
      </c>
      <c r="I70" s="144">
        <f>H70/$H$228</f>
        <v>2E-3</v>
      </c>
      <c r="J70" s="153">
        <f>H70/E70</f>
        <v>1.2250000000000001</v>
      </c>
      <c r="K70" s="195">
        <f t="shared" si="4"/>
        <v>1</v>
      </c>
      <c r="L70" s="185">
        <f>H70-D70</f>
        <v>-438.7</v>
      </c>
      <c r="M70" s="186">
        <f>H70/D70</f>
        <v>0.78</v>
      </c>
      <c r="N70" s="187">
        <f>H70-G70</f>
        <v>285.8</v>
      </c>
    </row>
    <row r="71" spans="1:15" ht="40.5" x14ac:dyDescent="0.2">
      <c r="A71" s="12" t="s">
        <v>45</v>
      </c>
      <c r="B71" s="8" t="s">
        <v>111</v>
      </c>
      <c r="C71" s="131">
        <v>2385.8000000000002</v>
      </c>
      <c r="D71" s="131">
        <v>2385.8000000000002</v>
      </c>
      <c r="E71" s="131">
        <f>2637.3+0.1</f>
        <v>2637.4</v>
      </c>
      <c r="F71" s="131">
        <v>1593.1</v>
      </c>
      <c r="G71" s="5">
        <v>2637.4</v>
      </c>
      <c r="H71" s="131">
        <v>1593.1</v>
      </c>
      <c r="I71" s="144">
        <f>H71/$H$228</f>
        <v>2E-3</v>
      </c>
      <c r="J71" s="153">
        <f>H71/E71</f>
        <v>0.60399999999999998</v>
      </c>
      <c r="K71" s="195">
        <f t="shared" si="4"/>
        <v>1</v>
      </c>
      <c r="L71" s="185">
        <f>H71-D71</f>
        <v>-792.7</v>
      </c>
      <c r="M71" s="186">
        <f>H71/D71</f>
        <v>0.66800000000000004</v>
      </c>
      <c r="N71" s="187">
        <f t="shared" ref="N71:N83" si="49">H71-G71</f>
        <v>-1044.3</v>
      </c>
    </row>
    <row r="72" spans="1:15" ht="54" x14ac:dyDescent="0.2">
      <c r="A72" s="12" t="s">
        <v>131</v>
      </c>
      <c r="B72" s="8" t="s">
        <v>112</v>
      </c>
      <c r="C72" s="131">
        <v>4847.3999999999996</v>
      </c>
      <c r="D72" s="131">
        <v>4847.3999999999996</v>
      </c>
      <c r="E72" s="131">
        <f t="shared" ref="E72" si="50">E74</f>
        <v>2879.9</v>
      </c>
      <c r="F72" s="131">
        <v>3455.9</v>
      </c>
      <c r="G72" s="131">
        <v>2879.9</v>
      </c>
      <c r="H72" s="131">
        <v>3455.9</v>
      </c>
      <c r="I72" s="144">
        <f>H72/$H$228</f>
        <v>5.0000000000000001E-3</v>
      </c>
      <c r="J72" s="153">
        <f>H72/E72</f>
        <v>1.2</v>
      </c>
      <c r="K72" s="195">
        <f t="shared" si="4"/>
        <v>1</v>
      </c>
      <c r="L72" s="185">
        <f>H72-D72</f>
        <v>-1391.5</v>
      </c>
      <c r="M72" s="186">
        <f>H72/D72</f>
        <v>0.71299999999999997</v>
      </c>
      <c r="N72" s="187">
        <f t="shared" si="49"/>
        <v>576</v>
      </c>
    </row>
    <row r="73" spans="1:15" x14ac:dyDescent="0.2">
      <c r="A73" s="12"/>
      <c r="B73" s="8" t="s">
        <v>26</v>
      </c>
      <c r="C73" s="131"/>
      <c r="D73" s="131"/>
      <c r="E73" s="131"/>
      <c r="F73" s="131"/>
      <c r="G73" s="5"/>
      <c r="H73" s="131"/>
      <c r="I73" s="144"/>
      <c r="J73" s="153"/>
      <c r="K73" s="153"/>
      <c r="L73" s="185"/>
      <c r="M73" s="186"/>
      <c r="N73" s="187"/>
    </row>
    <row r="74" spans="1:15" s="30" customFormat="1" ht="40.5" x14ac:dyDescent="0.2">
      <c r="A74" s="166" t="s">
        <v>194</v>
      </c>
      <c r="B74" s="27" t="s">
        <v>180</v>
      </c>
      <c r="C74" s="132">
        <v>4847.3999999999996</v>
      </c>
      <c r="D74" s="132">
        <v>4847.3999999999996</v>
      </c>
      <c r="E74" s="132">
        <v>2879.9</v>
      </c>
      <c r="F74" s="132">
        <v>3455.9</v>
      </c>
      <c r="G74" s="132">
        <v>2879.9</v>
      </c>
      <c r="H74" s="132">
        <v>3455.9</v>
      </c>
      <c r="I74" s="158">
        <f>H74/$H$228</f>
        <v>5.0000000000000001E-3</v>
      </c>
      <c r="J74" s="153">
        <f>H74/E74</f>
        <v>1.2</v>
      </c>
      <c r="K74" s="195">
        <f t="shared" ref="K74:K138" si="51">H74/F74</f>
        <v>1</v>
      </c>
      <c r="L74" s="191">
        <f>H74-D74</f>
        <v>-1391.5</v>
      </c>
      <c r="M74" s="195">
        <f>H74/D74</f>
        <v>0.71299999999999997</v>
      </c>
      <c r="N74" s="187">
        <f t="shared" si="49"/>
        <v>576</v>
      </c>
    </row>
    <row r="75" spans="1:15" ht="40.5" hidden="1" customHeight="1" x14ac:dyDescent="0.2">
      <c r="A75" s="12" t="s">
        <v>238</v>
      </c>
      <c r="B75" s="8" t="s">
        <v>239</v>
      </c>
      <c r="C75" s="131">
        <v>0</v>
      </c>
      <c r="D75" s="131">
        <v>0</v>
      </c>
      <c r="E75" s="131">
        <v>0</v>
      </c>
      <c r="F75" s="131">
        <v>0</v>
      </c>
      <c r="G75" s="5">
        <v>0</v>
      </c>
      <c r="H75" s="131">
        <v>0</v>
      </c>
      <c r="I75" s="158">
        <f t="shared" ref="I75" si="52">H75/$H$228</f>
        <v>0</v>
      </c>
      <c r="J75" s="153">
        <v>0</v>
      </c>
      <c r="K75" s="195" t="e">
        <f t="shared" si="51"/>
        <v>#DIV/0!</v>
      </c>
      <c r="L75" s="191">
        <f t="shared" ref="L75:L79" si="53">H75-D75</f>
        <v>0</v>
      </c>
      <c r="M75" s="195">
        <v>0</v>
      </c>
      <c r="N75" s="187">
        <f t="shared" si="49"/>
        <v>0</v>
      </c>
    </row>
    <row r="76" spans="1:15" ht="13.5" hidden="1" customHeight="1" x14ac:dyDescent="0.2">
      <c r="A76" s="12"/>
      <c r="B76" s="8" t="s">
        <v>26</v>
      </c>
      <c r="C76" s="131"/>
      <c r="D76" s="123"/>
      <c r="E76" s="131"/>
      <c r="F76" s="123"/>
      <c r="G76" s="5"/>
      <c r="H76" s="123"/>
      <c r="I76" s="158">
        <f>H76/$H$228</f>
        <v>0</v>
      </c>
      <c r="J76" s="153" t="e">
        <f>H76/E76</f>
        <v>#DIV/0!</v>
      </c>
      <c r="K76" s="195" t="e">
        <f t="shared" si="51"/>
        <v>#DIV/0!</v>
      </c>
      <c r="L76" s="191">
        <f t="shared" si="53"/>
        <v>0</v>
      </c>
      <c r="M76" s="195" t="e">
        <f>H76/D76</f>
        <v>#DIV/0!</v>
      </c>
      <c r="N76" s="187">
        <f t="shared" si="49"/>
        <v>0</v>
      </c>
    </row>
    <row r="77" spans="1:15" s="30" customFormat="1" ht="54" hidden="1" customHeight="1" x14ac:dyDescent="0.2">
      <c r="A77" s="12"/>
      <c r="B77" s="27" t="s">
        <v>128</v>
      </c>
      <c r="C77" s="132">
        <v>0</v>
      </c>
      <c r="D77" s="125">
        <v>0</v>
      </c>
      <c r="E77" s="132"/>
      <c r="F77" s="125"/>
      <c r="G77" s="132">
        <v>0</v>
      </c>
      <c r="H77" s="125"/>
      <c r="I77" s="158">
        <f>H77/$H$228</f>
        <v>0</v>
      </c>
      <c r="J77" s="153" t="e">
        <f>H77/E77</f>
        <v>#DIV/0!</v>
      </c>
      <c r="K77" s="195" t="e">
        <f t="shared" si="51"/>
        <v>#DIV/0!</v>
      </c>
      <c r="L77" s="191">
        <f t="shared" si="53"/>
        <v>0</v>
      </c>
      <c r="M77" s="195" t="e">
        <f>H77/D77</f>
        <v>#DIV/0!</v>
      </c>
      <c r="N77" s="187">
        <f t="shared" si="49"/>
        <v>0</v>
      </c>
    </row>
    <row r="78" spans="1:15" ht="13.5" hidden="1" customHeight="1" x14ac:dyDescent="0.2">
      <c r="A78" s="12" t="s">
        <v>67</v>
      </c>
      <c r="B78" s="8" t="s">
        <v>22</v>
      </c>
      <c r="C78" s="131">
        <v>0</v>
      </c>
      <c r="D78" s="123">
        <v>0</v>
      </c>
      <c r="E78" s="131">
        <v>0</v>
      </c>
      <c r="F78" s="123">
        <v>0</v>
      </c>
      <c r="G78" s="5">
        <v>0</v>
      </c>
      <c r="H78" s="123">
        <v>0</v>
      </c>
      <c r="I78" s="144">
        <f>H78/$H$228</f>
        <v>0</v>
      </c>
      <c r="J78" s="153">
        <v>0</v>
      </c>
      <c r="K78" s="195" t="e">
        <f t="shared" si="51"/>
        <v>#DIV/0!</v>
      </c>
      <c r="L78" s="185">
        <f t="shared" si="53"/>
        <v>0</v>
      </c>
      <c r="M78" s="186">
        <v>0</v>
      </c>
      <c r="N78" s="187">
        <f t="shared" si="49"/>
        <v>0</v>
      </c>
    </row>
    <row r="79" spans="1:15" s="1" customFormat="1" x14ac:dyDescent="0.2">
      <c r="A79" s="12" t="s">
        <v>70</v>
      </c>
      <c r="B79" s="8" t="s">
        <v>113</v>
      </c>
      <c r="C79" s="131">
        <v>3571.2</v>
      </c>
      <c r="D79" s="131">
        <v>6637.8</v>
      </c>
      <c r="E79" s="131">
        <v>94400.9</v>
      </c>
      <c r="F79" s="131">
        <v>4138.3</v>
      </c>
      <c r="G79" s="5">
        <v>94400.9</v>
      </c>
      <c r="H79" s="131">
        <v>4138.3</v>
      </c>
      <c r="I79" s="144">
        <f>H79/$H$228</f>
        <v>6.0000000000000001E-3</v>
      </c>
      <c r="J79" s="153">
        <f>H79/E79</f>
        <v>4.3999999999999997E-2</v>
      </c>
      <c r="K79" s="195">
        <f t="shared" si="51"/>
        <v>1</v>
      </c>
      <c r="L79" s="185">
        <f t="shared" si="53"/>
        <v>-2499.5</v>
      </c>
      <c r="M79" s="186">
        <f>H79/D79</f>
        <v>0.623</v>
      </c>
      <c r="N79" s="187">
        <f t="shared" si="49"/>
        <v>-90262.6</v>
      </c>
    </row>
    <row r="80" spans="1:15" s="1" customFormat="1" x14ac:dyDescent="0.2">
      <c r="A80" s="12"/>
      <c r="B80" s="213" t="s">
        <v>118</v>
      </c>
      <c r="C80" s="131"/>
      <c r="D80" s="131"/>
      <c r="E80" s="131"/>
      <c r="F80" s="131"/>
      <c r="G80" s="5"/>
      <c r="H80" s="131"/>
      <c r="I80" s="144"/>
      <c r="J80" s="153"/>
      <c r="K80" s="153"/>
      <c r="L80" s="185"/>
      <c r="M80" s="186"/>
      <c r="N80" s="187">
        <f t="shared" si="49"/>
        <v>0</v>
      </c>
    </row>
    <row r="81" spans="1:14" x14ac:dyDescent="0.2">
      <c r="A81" s="12"/>
      <c r="B81" s="7" t="s">
        <v>95</v>
      </c>
      <c r="C81" s="131">
        <v>4024.7</v>
      </c>
      <c r="D81" s="5">
        <v>4024.7</v>
      </c>
      <c r="E81" s="5">
        <v>3787.1</v>
      </c>
      <c r="F81" s="5">
        <v>3032</v>
      </c>
      <c r="G81" s="5">
        <v>3787.1</v>
      </c>
      <c r="H81" s="5">
        <v>3032</v>
      </c>
      <c r="I81" s="144">
        <f>H81/$H$228</f>
        <v>4.0000000000000001E-3</v>
      </c>
      <c r="J81" s="153">
        <f>H81/E81</f>
        <v>0.80100000000000005</v>
      </c>
      <c r="K81" s="195">
        <f t="shared" si="51"/>
        <v>1</v>
      </c>
      <c r="L81" s="185">
        <f>H81-D81</f>
        <v>-992.7</v>
      </c>
      <c r="M81" s="186">
        <f>H81/D81</f>
        <v>0.753</v>
      </c>
      <c r="N81" s="187">
        <f t="shared" si="49"/>
        <v>-755.1</v>
      </c>
    </row>
    <row r="82" spans="1:14" ht="13.5" hidden="1" customHeight="1" x14ac:dyDescent="0.2">
      <c r="A82" s="12"/>
      <c r="B82" s="7" t="s">
        <v>98</v>
      </c>
      <c r="C82" s="131">
        <v>0</v>
      </c>
      <c r="D82" s="5">
        <v>0</v>
      </c>
      <c r="E82" s="5"/>
      <c r="F82" s="5"/>
      <c r="G82" s="5">
        <v>0</v>
      </c>
      <c r="H82" s="5"/>
      <c r="I82" s="144">
        <f>H82/$H$228</f>
        <v>0</v>
      </c>
      <c r="J82" s="153" t="e">
        <f>H82/E82</f>
        <v>#DIV/0!</v>
      </c>
      <c r="K82" s="153" t="e">
        <f t="shared" si="51"/>
        <v>#DIV/0!</v>
      </c>
      <c r="L82" s="185">
        <f>H82-D82</f>
        <v>0</v>
      </c>
      <c r="M82" s="186" t="str">
        <f>IF(H82=0,"0,0%", H82/D82)</f>
        <v>0,0%</v>
      </c>
      <c r="N82" s="187">
        <f t="shared" si="49"/>
        <v>0</v>
      </c>
    </row>
    <row r="83" spans="1:14" x14ac:dyDescent="0.2">
      <c r="A83" s="12"/>
      <c r="B83" s="15" t="s">
        <v>137</v>
      </c>
      <c r="C83" s="131">
        <v>8187.6</v>
      </c>
      <c r="D83" s="131">
        <v>10943.1</v>
      </c>
      <c r="E83" s="131">
        <v>4280.8</v>
      </c>
      <c r="F83" s="131">
        <v>7417.8</v>
      </c>
      <c r="G83" s="131">
        <v>4280.8</v>
      </c>
      <c r="H83" s="131">
        <v>7417.8</v>
      </c>
      <c r="I83" s="144">
        <f>H83/$H$228</f>
        <v>1.0999999999999999E-2</v>
      </c>
      <c r="J83" s="153">
        <f>H83/E83</f>
        <v>1.7330000000000001</v>
      </c>
      <c r="K83" s="195">
        <f t="shared" si="51"/>
        <v>1</v>
      </c>
      <c r="L83" s="185">
        <f>H83-D83</f>
        <v>-3525.3</v>
      </c>
      <c r="M83" s="186">
        <f>H83/D83</f>
        <v>0.67800000000000005</v>
      </c>
      <c r="N83" s="187">
        <f t="shared" si="49"/>
        <v>3137</v>
      </c>
    </row>
    <row r="84" spans="1:14" s="21" customFormat="1" ht="27" x14ac:dyDescent="0.2">
      <c r="A84" s="62" t="s">
        <v>86</v>
      </c>
      <c r="B84" s="66" t="s">
        <v>87</v>
      </c>
      <c r="C84" s="63">
        <f>C86+C88</f>
        <v>0</v>
      </c>
      <c r="D84" s="63">
        <f t="shared" ref="D84:H84" si="54">D86+D88</f>
        <v>0</v>
      </c>
      <c r="E84" s="63">
        <f t="shared" si="54"/>
        <v>11393.3</v>
      </c>
      <c r="F84" s="63">
        <f t="shared" ref="F84" si="55">F86+F88</f>
        <v>0</v>
      </c>
      <c r="G84" s="63">
        <f t="shared" ref="G84" si="56">G86+G88</f>
        <v>11393.3</v>
      </c>
      <c r="H84" s="63">
        <f t="shared" si="54"/>
        <v>0</v>
      </c>
      <c r="I84" s="64">
        <f>H84/$H$228</f>
        <v>0</v>
      </c>
      <c r="J84" s="153">
        <f>H84/E84</f>
        <v>0</v>
      </c>
      <c r="K84" s="153">
        <v>0</v>
      </c>
      <c r="L84" s="154">
        <f>H84-D84</f>
        <v>0</v>
      </c>
      <c r="M84" s="153">
        <v>0</v>
      </c>
      <c r="N84" s="155">
        <f>H84-G84</f>
        <v>-11393.3</v>
      </c>
    </row>
    <row r="85" spans="1:14" s="21" customFormat="1" x14ac:dyDescent="0.2">
      <c r="A85" s="14"/>
      <c r="B85" s="104" t="s">
        <v>133</v>
      </c>
      <c r="C85" s="138"/>
      <c r="D85" s="138"/>
      <c r="E85" s="138"/>
      <c r="F85" s="138"/>
      <c r="G85" s="138"/>
      <c r="H85" s="138"/>
      <c r="I85" s="134"/>
      <c r="J85" s="153"/>
      <c r="K85" s="153"/>
      <c r="L85" s="154"/>
      <c r="M85" s="153"/>
      <c r="N85" s="155"/>
    </row>
    <row r="86" spans="1:14" s="30" customFormat="1" ht="40.5" hidden="1" customHeight="1" x14ac:dyDescent="0.2">
      <c r="A86" s="12" t="s">
        <v>132</v>
      </c>
      <c r="B86" s="15" t="s">
        <v>105</v>
      </c>
      <c r="C86" s="139">
        <v>0</v>
      </c>
      <c r="D86" s="129">
        <v>0</v>
      </c>
      <c r="E86" s="129"/>
      <c r="F86" s="129">
        <v>0</v>
      </c>
      <c r="G86" s="129">
        <v>0</v>
      </c>
      <c r="H86" s="129">
        <v>0</v>
      </c>
      <c r="I86" s="128">
        <f>H86/$H$228</f>
        <v>0</v>
      </c>
      <c r="J86" s="153" t="e">
        <f t="shared" ref="J86:J93" si="57">H86/E86</f>
        <v>#DIV/0!</v>
      </c>
      <c r="K86" s="153" t="e">
        <f t="shared" si="51"/>
        <v>#DIV/0!</v>
      </c>
      <c r="L86" s="185">
        <f>H86-D86</f>
        <v>0</v>
      </c>
      <c r="M86" s="186" t="e">
        <f>H86/D86</f>
        <v>#DIV/0!</v>
      </c>
      <c r="N86" s="194" t="e">
        <f>H86-#REF!</f>
        <v>#REF!</v>
      </c>
    </row>
    <row r="87" spans="1:14" s="30" customFormat="1" ht="13.5" hidden="1" customHeight="1" x14ac:dyDescent="0.2">
      <c r="A87" s="12"/>
      <c r="B87" s="6" t="s">
        <v>26</v>
      </c>
      <c r="C87" s="139"/>
      <c r="D87" s="129"/>
      <c r="E87" s="129"/>
      <c r="F87" s="125"/>
      <c r="G87" s="125"/>
      <c r="H87" s="125"/>
      <c r="I87" s="128"/>
      <c r="J87" s="153" t="e">
        <f t="shared" si="57"/>
        <v>#DIV/0!</v>
      </c>
      <c r="K87" s="153" t="e">
        <f t="shared" si="51"/>
        <v>#DIV/0!</v>
      </c>
      <c r="L87" s="185"/>
      <c r="M87" s="186"/>
      <c r="N87" s="194"/>
    </row>
    <row r="88" spans="1:14" s="30" customFormat="1" ht="40.5" x14ac:dyDescent="0.2">
      <c r="A88" s="12" t="s">
        <v>132</v>
      </c>
      <c r="B88" s="27" t="s">
        <v>134</v>
      </c>
      <c r="C88" s="132">
        <v>0</v>
      </c>
      <c r="D88" s="132">
        <v>0</v>
      </c>
      <c r="E88" s="132">
        <v>11393.3</v>
      </c>
      <c r="F88" s="132">
        <v>0</v>
      </c>
      <c r="G88" s="132">
        <v>11393.3</v>
      </c>
      <c r="H88" s="132">
        <v>0</v>
      </c>
      <c r="I88" s="158">
        <f>H88/$H$228</f>
        <v>0</v>
      </c>
      <c r="J88" s="153">
        <f t="shared" si="57"/>
        <v>0</v>
      </c>
      <c r="K88" s="195">
        <v>0</v>
      </c>
      <c r="L88" s="191">
        <f>H88-D88</f>
        <v>0</v>
      </c>
      <c r="M88" s="195">
        <v>0</v>
      </c>
      <c r="N88" s="196">
        <f>H88-G88</f>
        <v>-11393.3</v>
      </c>
    </row>
    <row r="89" spans="1:14" s="30" customFormat="1" ht="13.5" hidden="1" customHeight="1" x14ac:dyDescent="0.2">
      <c r="A89" s="79"/>
      <c r="B89" s="99" t="s">
        <v>119</v>
      </c>
      <c r="C89" s="86"/>
      <c r="D89" s="139"/>
      <c r="E89" s="139"/>
      <c r="F89" s="132"/>
      <c r="G89" s="132"/>
      <c r="H89" s="132"/>
      <c r="I89" s="144"/>
      <c r="J89" s="153" t="e">
        <f t="shared" si="57"/>
        <v>#DIV/0!</v>
      </c>
      <c r="K89" s="153" t="e">
        <f t="shared" si="51"/>
        <v>#DIV/0!</v>
      </c>
      <c r="L89" s="185"/>
      <c r="M89" s="186"/>
      <c r="N89" s="194"/>
    </row>
    <row r="90" spans="1:14" s="30" customFormat="1" ht="13.5" hidden="1" customHeight="1" x14ac:dyDescent="0.2">
      <c r="A90" s="79"/>
      <c r="B90" s="88" t="s">
        <v>104</v>
      </c>
      <c r="C90" s="86"/>
      <c r="D90" s="139"/>
      <c r="E90" s="139"/>
      <c r="F90" s="132">
        <v>0</v>
      </c>
      <c r="G90" s="132">
        <v>0</v>
      </c>
      <c r="H90" s="132">
        <v>0</v>
      </c>
      <c r="I90" s="144">
        <f>H90/$H$228</f>
        <v>0</v>
      </c>
      <c r="J90" s="153" t="e">
        <f t="shared" si="57"/>
        <v>#DIV/0!</v>
      </c>
      <c r="K90" s="153" t="e">
        <f t="shared" si="51"/>
        <v>#DIV/0!</v>
      </c>
      <c r="L90" s="185">
        <f>H90-D90</f>
        <v>0</v>
      </c>
      <c r="M90" s="186" t="e">
        <f>H90/D90</f>
        <v>#DIV/0!</v>
      </c>
      <c r="N90" s="194" t="e">
        <f>H90-#REF!</f>
        <v>#REF!</v>
      </c>
    </row>
    <row r="91" spans="1:14" s="21" customFormat="1" x14ac:dyDescent="0.2">
      <c r="A91" s="62" t="s">
        <v>23</v>
      </c>
      <c r="B91" s="159" t="s">
        <v>25</v>
      </c>
      <c r="C91" s="160">
        <f>C93+C97+C114+C92</f>
        <v>832253.6</v>
      </c>
      <c r="D91" s="160">
        <f t="shared" ref="D91:G91" si="58">D93+D97+D114+D92</f>
        <v>977549.3</v>
      </c>
      <c r="E91" s="160">
        <f t="shared" si="58"/>
        <v>428854.8</v>
      </c>
      <c r="F91" s="160">
        <f>F93+F97+F114+F92</f>
        <v>424493.9</v>
      </c>
      <c r="G91" s="160">
        <f t="shared" si="58"/>
        <v>428854.8</v>
      </c>
      <c r="H91" s="160">
        <f>H93+H97+H114+H92</f>
        <v>424493.9</v>
      </c>
      <c r="I91" s="64">
        <f>H91/$H$228</f>
        <v>0.61099999999999999</v>
      </c>
      <c r="J91" s="153">
        <f t="shared" si="57"/>
        <v>0.99</v>
      </c>
      <c r="K91" s="153">
        <f t="shared" si="51"/>
        <v>1</v>
      </c>
      <c r="L91" s="154">
        <f>H91-D91</f>
        <v>-553055.4</v>
      </c>
      <c r="M91" s="153">
        <f>H91/D91</f>
        <v>0.434</v>
      </c>
      <c r="N91" s="155">
        <f>H91-G91</f>
        <v>-4360.8999999999996</v>
      </c>
    </row>
    <row r="92" spans="1:14" s="21" customFormat="1" x14ac:dyDescent="0.2">
      <c r="A92" s="12" t="s">
        <v>247</v>
      </c>
      <c r="B92" s="218" t="s">
        <v>248</v>
      </c>
      <c r="C92" s="139">
        <v>1831.9</v>
      </c>
      <c r="D92" s="139">
        <v>1831.9</v>
      </c>
      <c r="E92" s="139"/>
      <c r="F92" s="139">
        <v>299</v>
      </c>
      <c r="G92" s="139">
        <v>0</v>
      </c>
      <c r="H92" s="139">
        <v>299</v>
      </c>
      <c r="I92" s="135">
        <f>H92/$H$228</f>
        <v>0</v>
      </c>
      <c r="J92" s="195"/>
      <c r="K92" s="195">
        <f t="shared" si="51"/>
        <v>1</v>
      </c>
      <c r="L92" s="191">
        <f>H92-D92</f>
        <v>-1532.9</v>
      </c>
      <c r="M92" s="195">
        <f>H92/D92</f>
        <v>0.16300000000000001</v>
      </c>
      <c r="N92" s="196">
        <f>H92-G92</f>
        <v>299</v>
      </c>
    </row>
    <row r="93" spans="1:14" x14ac:dyDescent="0.2">
      <c r="A93" s="3" t="s">
        <v>46</v>
      </c>
      <c r="B93" s="7" t="s">
        <v>88</v>
      </c>
      <c r="C93" s="5">
        <f>C95</f>
        <v>25000</v>
      </c>
      <c r="D93" s="90">
        <f>D95</f>
        <v>25000</v>
      </c>
      <c r="E93" s="90">
        <f t="shared" ref="E93:F93" si="59">E95</f>
        <v>20444.099999999999</v>
      </c>
      <c r="F93" s="90">
        <f t="shared" si="59"/>
        <v>19706.099999999999</v>
      </c>
      <c r="G93" s="90">
        <f t="shared" ref="G93:H93" si="60">G95</f>
        <v>20444.099999999999</v>
      </c>
      <c r="H93" s="90">
        <f t="shared" si="60"/>
        <v>19706.099999999999</v>
      </c>
      <c r="I93" s="144">
        <f>H93/$H$228</f>
        <v>2.8000000000000001E-2</v>
      </c>
      <c r="J93" s="153">
        <f t="shared" si="57"/>
        <v>0.96399999999999997</v>
      </c>
      <c r="K93" s="195">
        <f t="shared" si="51"/>
        <v>1</v>
      </c>
      <c r="L93" s="185">
        <f>H93-D93</f>
        <v>-5293.9</v>
      </c>
      <c r="M93" s="186">
        <f>H93/D93</f>
        <v>0.78800000000000003</v>
      </c>
      <c r="N93" s="194">
        <f>H93-G93</f>
        <v>-738</v>
      </c>
    </row>
    <row r="94" spans="1:14" x14ac:dyDescent="0.2">
      <c r="A94" s="3"/>
      <c r="B94" s="6" t="s">
        <v>26</v>
      </c>
      <c r="C94" s="5"/>
      <c r="D94" s="5"/>
      <c r="E94" s="5"/>
      <c r="F94" s="149"/>
      <c r="G94" s="149"/>
      <c r="H94" s="149"/>
      <c r="I94" s="144"/>
      <c r="J94" s="153"/>
      <c r="K94" s="195"/>
      <c r="L94" s="185"/>
      <c r="M94" s="186"/>
      <c r="N94" s="194"/>
    </row>
    <row r="95" spans="1:14" ht="54" x14ac:dyDescent="0.2">
      <c r="A95" s="3"/>
      <c r="B95" s="7" t="s">
        <v>108</v>
      </c>
      <c r="C95" s="5">
        <v>25000</v>
      </c>
      <c r="D95" s="5">
        <v>25000</v>
      </c>
      <c r="E95" s="5">
        <v>20444.099999999999</v>
      </c>
      <c r="F95" s="5">
        <v>19706.099999999999</v>
      </c>
      <c r="G95" s="5">
        <v>20444.099999999999</v>
      </c>
      <c r="H95" s="5">
        <v>19706.099999999999</v>
      </c>
      <c r="I95" s="144">
        <f>H95/$H$228</f>
        <v>2.8000000000000001E-2</v>
      </c>
      <c r="J95" s="153">
        <f>H95/E95</f>
        <v>0.96399999999999997</v>
      </c>
      <c r="K95" s="195">
        <f t="shared" si="51"/>
        <v>1</v>
      </c>
      <c r="L95" s="185">
        <f>H95-D95</f>
        <v>-5293.9</v>
      </c>
      <c r="M95" s="186">
        <f>H95/D95</f>
        <v>0.78800000000000003</v>
      </c>
      <c r="N95" s="194">
        <f>H95-G95</f>
        <v>-738</v>
      </c>
    </row>
    <row r="96" spans="1:14" s="30" customFormat="1" ht="13.5" hidden="1" customHeight="1" x14ac:dyDescent="0.2">
      <c r="A96" s="12"/>
      <c r="B96" s="27" t="s">
        <v>129</v>
      </c>
      <c r="C96" s="132"/>
      <c r="D96" s="132"/>
      <c r="E96" s="132"/>
      <c r="F96" s="132"/>
      <c r="G96" s="132"/>
      <c r="H96" s="132"/>
      <c r="I96" s="158">
        <f>H96/$H$228</f>
        <v>0</v>
      </c>
      <c r="J96" s="153" t="e">
        <f>H96/E96</f>
        <v>#DIV/0!</v>
      </c>
      <c r="K96" s="195" t="e">
        <f t="shared" si="51"/>
        <v>#DIV/0!</v>
      </c>
      <c r="L96" s="191">
        <f>H96-D96</f>
        <v>0</v>
      </c>
      <c r="M96" s="195" t="e">
        <f>H96/D96</f>
        <v>#DIV/0!</v>
      </c>
      <c r="N96" s="194">
        <f t="shared" ref="N96:N120" si="61">H96-G96</f>
        <v>0</v>
      </c>
    </row>
    <row r="97" spans="1:14" s="1" customFormat="1" x14ac:dyDescent="0.2">
      <c r="A97" s="3" t="s">
        <v>89</v>
      </c>
      <c r="B97" s="7" t="s">
        <v>90</v>
      </c>
      <c r="C97" s="5">
        <f>C99+C111</f>
        <v>798682.6</v>
      </c>
      <c r="D97" s="5">
        <f>D99+D111</f>
        <v>943978.3</v>
      </c>
      <c r="E97" s="5">
        <f t="shared" ref="E97" si="62">E99+E111</f>
        <v>406131.1</v>
      </c>
      <c r="F97" s="5">
        <f>F99+F111</f>
        <v>402141.3</v>
      </c>
      <c r="G97" s="5">
        <f>G99+G111</f>
        <v>406131.1</v>
      </c>
      <c r="H97" s="5">
        <f>H99+H111</f>
        <v>402141.3</v>
      </c>
      <c r="I97" s="144">
        <f>H97/$H$228</f>
        <v>0.57899999999999996</v>
      </c>
      <c r="J97" s="153">
        <f>H97/E97</f>
        <v>0.99</v>
      </c>
      <c r="K97" s="195">
        <f t="shared" si="51"/>
        <v>1</v>
      </c>
      <c r="L97" s="185">
        <f>H97-D97</f>
        <v>-541837</v>
      </c>
      <c r="M97" s="186">
        <f>H97/D97</f>
        <v>0.42599999999999999</v>
      </c>
      <c r="N97" s="194">
        <f t="shared" si="61"/>
        <v>-3989.8</v>
      </c>
    </row>
    <row r="98" spans="1:14" s="1" customFormat="1" x14ac:dyDescent="0.2">
      <c r="A98" s="3"/>
      <c r="B98" s="6" t="s">
        <v>170</v>
      </c>
      <c r="C98" s="5"/>
      <c r="D98" s="5"/>
      <c r="E98" s="150"/>
      <c r="F98" s="150"/>
      <c r="G98" s="150"/>
      <c r="H98" s="150"/>
      <c r="I98" s="144"/>
      <c r="J98" s="153"/>
      <c r="K98" s="195"/>
      <c r="L98" s="185"/>
      <c r="M98" s="186"/>
      <c r="N98" s="194"/>
    </row>
    <row r="99" spans="1:14" s="1" customFormat="1" ht="27" x14ac:dyDescent="0.2">
      <c r="A99" s="3"/>
      <c r="B99" s="7" t="s">
        <v>177</v>
      </c>
      <c r="C99" s="5">
        <v>175291.6</v>
      </c>
      <c r="D99" s="5">
        <f>17933.4+D105</f>
        <v>223435.7</v>
      </c>
      <c r="E99" s="5">
        <v>160744.20000000001</v>
      </c>
      <c r="F99" s="5">
        <f>13259.9+F105</f>
        <v>141802.20000000001</v>
      </c>
      <c r="G99" s="5">
        <v>160744.20000000001</v>
      </c>
      <c r="H99" s="5">
        <f>13259.9+H105</f>
        <v>141802.20000000001</v>
      </c>
      <c r="I99" s="144">
        <f>H99/$H$228</f>
        <v>0.20399999999999999</v>
      </c>
      <c r="J99" s="153">
        <f>H99/E99</f>
        <v>0.88200000000000001</v>
      </c>
      <c r="K99" s="195">
        <f t="shared" si="51"/>
        <v>1</v>
      </c>
      <c r="L99" s="185">
        <f>H99-D99</f>
        <v>-81633.5</v>
      </c>
      <c r="M99" s="186">
        <f>H99/D99</f>
        <v>0.63500000000000001</v>
      </c>
      <c r="N99" s="194">
        <f>H99-G99</f>
        <v>-18942</v>
      </c>
    </row>
    <row r="100" spans="1:14" s="1" customFormat="1" ht="67.5" hidden="1" customHeight="1" x14ac:dyDescent="0.2">
      <c r="A100" s="3"/>
      <c r="B100" s="7" t="s">
        <v>116</v>
      </c>
      <c r="C100" s="5"/>
      <c r="D100" s="124"/>
      <c r="E100" s="5">
        <v>0</v>
      </c>
      <c r="F100" s="124">
        <v>0</v>
      </c>
      <c r="G100" s="5">
        <v>0</v>
      </c>
      <c r="H100" s="124">
        <v>0</v>
      </c>
      <c r="I100" s="144">
        <f>H100/$H$228</f>
        <v>0</v>
      </c>
      <c r="J100" s="153" t="e">
        <f>H100/E100</f>
        <v>#DIV/0!</v>
      </c>
      <c r="K100" s="195" t="e">
        <f t="shared" si="51"/>
        <v>#DIV/0!</v>
      </c>
      <c r="L100" s="185">
        <f>H100-D100</f>
        <v>0</v>
      </c>
      <c r="M100" s="186" t="e">
        <f>H100/D100</f>
        <v>#DIV/0!</v>
      </c>
      <c r="N100" s="194">
        <f t="shared" si="61"/>
        <v>0</v>
      </c>
    </row>
    <row r="101" spans="1:14" s="1" customFormat="1" ht="54" hidden="1" customHeight="1" x14ac:dyDescent="0.2">
      <c r="A101" s="3"/>
      <c r="B101" s="7" t="s">
        <v>117</v>
      </c>
      <c r="C101" s="5"/>
      <c r="D101" s="124"/>
      <c r="E101" s="5">
        <v>0</v>
      </c>
      <c r="F101" s="124">
        <v>0</v>
      </c>
      <c r="G101" s="5">
        <v>0</v>
      </c>
      <c r="H101" s="124">
        <v>0</v>
      </c>
      <c r="I101" s="144">
        <f>H101/$H$228</f>
        <v>0</v>
      </c>
      <c r="J101" s="153" t="e">
        <f>H101/E101</f>
        <v>#DIV/0!</v>
      </c>
      <c r="K101" s="195" t="e">
        <f t="shared" si="51"/>
        <v>#DIV/0!</v>
      </c>
      <c r="L101" s="185">
        <f>H101-D101</f>
        <v>0</v>
      </c>
      <c r="M101" s="186" t="e">
        <f>H101/D101</f>
        <v>#DIV/0!</v>
      </c>
      <c r="N101" s="194">
        <f t="shared" si="61"/>
        <v>0</v>
      </c>
    </row>
    <row r="102" spans="1:14" s="1" customFormat="1" ht="40.5" hidden="1" customHeight="1" x14ac:dyDescent="0.2">
      <c r="A102" s="3"/>
      <c r="B102" s="7" t="s">
        <v>91</v>
      </c>
      <c r="C102" s="5"/>
      <c r="D102" s="124"/>
      <c r="E102" s="5">
        <v>0</v>
      </c>
      <c r="F102" s="124">
        <v>0</v>
      </c>
      <c r="G102" s="5">
        <v>0</v>
      </c>
      <c r="H102" s="124">
        <v>0</v>
      </c>
      <c r="I102" s="144">
        <f>H102/$H$228</f>
        <v>0</v>
      </c>
      <c r="J102" s="153" t="e">
        <f>H102/E102</f>
        <v>#DIV/0!</v>
      </c>
      <c r="K102" s="195" t="e">
        <f t="shared" si="51"/>
        <v>#DIV/0!</v>
      </c>
      <c r="L102" s="185">
        <f>H102-D102</f>
        <v>0</v>
      </c>
      <c r="M102" s="186" t="e">
        <f>H102/D102</f>
        <v>#DIV/0!</v>
      </c>
      <c r="N102" s="194">
        <f t="shared" si="61"/>
        <v>0</v>
      </c>
    </row>
    <row r="103" spans="1:14" s="30" customFormat="1" ht="13.5" hidden="1" customHeight="1" x14ac:dyDescent="0.2">
      <c r="A103" s="12"/>
      <c r="B103" s="27" t="s">
        <v>129</v>
      </c>
      <c r="C103" s="132"/>
      <c r="D103" s="125"/>
      <c r="E103" s="132">
        <v>0</v>
      </c>
      <c r="F103" s="125">
        <v>0</v>
      </c>
      <c r="G103" s="132">
        <v>0</v>
      </c>
      <c r="H103" s="125">
        <v>0</v>
      </c>
      <c r="I103" s="144">
        <f>H103/$H$228</f>
        <v>0</v>
      </c>
      <c r="J103" s="153" t="e">
        <f>H103/E103</f>
        <v>#DIV/0!</v>
      </c>
      <c r="K103" s="195" t="e">
        <f t="shared" si="51"/>
        <v>#DIV/0!</v>
      </c>
      <c r="L103" s="185">
        <f>H103-D103</f>
        <v>0</v>
      </c>
      <c r="M103" s="186" t="e">
        <f>H103/D103</f>
        <v>#DIV/0!</v>
      </c>
      <c r="N103" s="194">
        <f t="shared" si="61"/>
        <v>0</v>
      </c>
    </row>
    <row r="104" spans="1:14" s="30" customFormat="1" ht="13.5" customHeight="1" x14ac:dyDescent="0.2">
      <c r="A104" s="12"/>
      <c r="B104" s="118" t="s">
        <v>170</v>
      </c>
      <c r="C104" s="132"/>
      <c r="D104" s="132"/>
      <c r="E104" s="132"/>
      <c r="F104" s="132"/>
      <c r="G104" s="132"/>
      <c r="H104" s="132"/>
      <c r="I104" s="144"/>
      <c r="J104" s="153"/>
      <c r="K104" s="195"/>
      <c r="L104" s="185"/>
      <c r="M104" s="186"/>
      <c r="N104" s="194"/>
    </row>
    <row r="105" spans="1:14" s="30" customFormat="1" ht="27" x14ac:dyDescent="0.2">
      <c r="A105" s="12"/>
      <c r="B105" s="119" t="s">
        <v>246</v>
      </c>
      <c r="C105" s="132">
        <f>SUM(C106:C110)</f>
        <v>164965.70000000001</v>
      </c>
      <c r="D105" s="132">
        <f>SUM(D106:D110)</f>
        <v>205502.3</v>
      </c>
      <c r="E105" s="132">
        <f t="shared" ref="E105:F105" si="63">SUM(E106:E110)</f>
        <v>30418.3</v>
      </c>
      <c r="F105" s="132">
        <f t="shared" si="63"/>
        <v>128542.3</v>
      </c>
      <c r="G105" s="132">
        <f t="shared" ref="G105:H105" si="64">SUM(G106:G110)</f>
        <v>30418.3</v>
      </c>
      <c r="H105" s="132">
        <f t="shared" si="64"/>
        <v>128542.3</v>
      </c>
      <c r="I105" s="144">
        <f t="shared" ref="I105:I111" si="65">H105/$H$228</f>
        <v>0.185</v>
      </c>
      <c r="J105" s="153">
        <f>H105/E105</f>
        <v>4.226</v>
      </c>
      <c r="K105" s="195">
        <f t="shared" si="51"/>
        <v>1</v>
      </c>
      <c r="L105" s="185">
        <f t="shared" ref="L105:L111" si="66">H105-D105</f>
        <v>-76960</v>
      </c>
      <c r="M105" s="186">
        <f t="shared" ref="M105:M111" si="67">H105/D105</f>
        <v>0.626</v>
      </c>
      <c r="N105" s="194">
        <f t="shared" si="61"/>
        <v>98124</v>
      </c>
    </row>
    <row r="106" spans="1:14" s="30" customFormat="1" ht="13.5" customHeight="1" x14ac:dyDescent="0.2">
      <c r="A106" s="73"/>
      <c r="B106" s="74" t="s">
        <v>95</v>
      </c>
      <c r="C106" s="87">
        <v>89656</v>
      </c>
      <c r="D106" s="87">
        <v>89371.7</v>
      </c>
      <c r="E106" s="87">
        <v>20251.7</v>
      </c>
      <c r="F106" s="87">
        <v>70701.600000000006</v>
      </c>
      <c r="G106" s="87">
        <v>20251.7</v>
      </c>
      <c r="H106" s="87">
        <v>70701.600000000006</v>
      </c>
      <c r="I106" s="145">
        <f t="shared" si="65"/>
        <v>0.10199999999999999</v>
      </c>
      <c r="J106" s="153">
        <f>H106/E106</f>
        <v>3.4910000000000001</v>
      </c>
      <c r="K106" s="195">
        <f t="shared" si="51"/>
        <v>1</v>
      </c>
      <c r="L106" s="185">
        <f t="shared" si="66"/>
        <v>-18670.099999999999</v>
      </c>
      <c r="M106" s="186">
        <f t="shared" si="67"/>
        <v>0.79100000000000004</v>
      </c>
      <c r="N106" s="194">
        <f t="shared" si="61"/>
        <v>50449.9</v>
      </c>
    </row>
    <row r="107" spans="1:14" s="30" customFormat="1" ht="13.5" customHeight="1" x14ac:dyDescent="0.2">
      <c r="A107" s="73"/>
      <c r="B107" s="74" t="s">
        <v>155</v>
      </c>
      <c r="C107" s="87">
        <v>221.5</v>
      </c>
      <c r="D107" s="87">
        <v>226.1</v>
      </c>
      <c r="E107" s="87"/>
      <c r="F107" s="87">
        <v>190.7</v>
      </c>
      <c r="G107" s="87">
        <v>0</v>
      </c>
      <c r="H107" s="87">
        <v>190.7</v>
      </c>
      <c r="I107" s="145">
        <f t="shared" si="65"/>
        <v>0</v>
      </c>
      <c r="J107" s="153"/>
      <c r="K107" s="195">
        <f t="shared" si="51"/>
        <v>1</v>
      </c>
      <c r="L107" s="185">
        <f t="shared" si="66"/>
        <v>-35.4</v>
      </c>
      <c r="M107" s="186">
        <f t="shared" si="67"/>
        <v>0.84299999999999997</v>
      </c>
      <c r="N107" s="194">
        <f t="shared" si="61"/>
        <v>190.7</v>
      </c>
    </row>
    <row r="108" spans="1:14" s="30" customFormat="1" ht="13.5" customHeight="1" x14ac:dyDescent="0.2">
      <c r="A108" s="73"/>
      <c r="B108" s="74" t="s">
        <v>98</v>
      </c>
      <c r="C108" s="87">
        <v>3821.5</v>
      </c>
      <c r="D108" s="87">
        <v>7416</v>
      </c>
      <c r="E108" s="87">
        <v>263.2</v>
      </c>
      <c r="F108" s="87">
        <v>3076.2</v>
      </c>
      <c r="G108" s="87">
        <v>263.2</v>
      </c>
      <c r="H108" s="87">
        <v>3076.2</v>
      </c>
      <c r="I108" s="145">
        <f t="shared" si="65"/>
        <v>4.0000000000000001E-3</v>
      </c>
      <c r="J108" s="153">
        <f>H108/E108</f>
        <v>11.688000000000001</v>
      </c>
      <c r="K108" s="195">
        <f t="shared" si="51"/>
        <v>1</v>
      </c>
      <c r="L108" s="185">
        <f t="shared" si="66"/>
        <v>-4339.8</v>
      </c>
      <c r="M108" s="186">
        <f t="shared" si="67"/>
        <v>0.41499999999999998</v>
      </c>
      <c r="N108" s="194">
        <f t="shared" si="61"/>
        <v>2813</v>
      </c>
    </row>
    <row r="109" spans="1:14" s="30" customFormat="1" ht="13.5" customHeight="1" x14ac:dyDescent="0.2">
      <c r="A109" s="73"/>
      <c r="B109" s="74" t="s">
        <v>153</v>
      </c>
      <c r="C109" s="87">
        <v>922.5</v>
      </c>
      <c r="D109" s="87">
        <v>1084.5</v>
      </c>
      <c r="E109" s="87">
        <v>71.5</v>
      </c>
      <c r="F109" s="87">
        <v>496.9</v>
      </c>
      <c r="G109" s="87">
        <v>71.5</v>
      </c>
      <c r="H109" s="87">
        <v>496.9</v>
      </c>
      <c r="I109" s="145">
        <f t="shared" si="65"/>
        <v>1E-3</v>
      </c>
      <c r="J109" s="153">
        <v>0</v>
      </c>
      <c r="K109" s="195">
        <f t="shared" si="51"/>
        <v>1</v>
      </c>
      <c r="L109" s="185">
        <f t="shared" si="66"/>
        <v>-587.6</v>
      </c>
      <c r="M109" s="186">
        <f t="shared" si="67"/>
        <v>0.45800000000000002</v>
      </c>
      <c r="N109" s="194">
        <f t="shared" si="61"/>
        <v>425.4</v>
      </c>
    </row>
    <row r="110" spans="1:14" s="30" customFormat="1" ht="13.5" customHeight="1" x14ac:dyDescent="0.2">
      <c r="A110" s="73"/>
      <c r="B110" s="74" t="s">
        <v>154</v>
      </c>
      <c r="C110" s="87">
        <v>70344.2</v>
      </c>
      <c r="D110" s="87">
        <v>107404</v>
      </c>
      <c r="E110" s="87">
        <v>9831.9</v>
      </c>
      <c r="F110" s="87">
        <v>54076.9</v>
      </c>
      <c r="G110" s="87">
        <v>9831.9</v>
      </c>
      <c r="H110" s="87">
        <v>54076.9</v>
      </c>
      <c r="I110" s="145">
        <f t="shared" si="65"/>
        <v>7.8E-2</v>
      </c>
      <c r="J110" s="153">
        <f>H110/E110</f>
        <v>5.5</v>
      </c>
      <c r="K110" s="195">
        <f t="shared" si="51"/>
        <v>1</v>
      </c>
      <c r="L110" s="185">
        <f t="shared" si="66"/>
        <v>-53327.1</v>
      </c>
      <c r="M110" s="186">
        <f t="shared" si="67"/>
        <v>0.503</v>
      </c>
      <c r="N110" s="194">
        <f t="shared" si="61"/>
        <v>44245</v>
      </c>
    </row>
    <row r="111" spans="1:14" s="1" customFormat="1" ht="27" x14ac:dyDescent="0.2">
      <c r="A111" s="105" t="s">
        <v>295</v>
      </c>
      <c r="B111" s="7" t="s">
        <v>224</v>
      </c>
      <c r="C111" s="5">
        <v>623391</v>
      </c>
      <c r="D111" s="5">
        <v>720542.6</v>
      </c>
      <c r="E111" s="5">
        <v>245386.9</v>
      </c>
      <c r="F111" s="5">
        <v>260339.1</v>
      </c>
      <c r="G111" s="5">
        <v>245386.9</v>
      </c>
      <c r="H111" s="5">
        <v>260339.1</v>
      </c>
      <c r="I111" s="144">
        <f t="shared" si="65"/>
        <v>0.375</v>
      </c>
      <c r="J111" s="153">
        <f t="shared" ref="J111:J121" si="68">H111/E111</f>
        <v>1.0609999999999999</v>
      </c>
      <c r="K111" s="195">
        <f t="shared" si="51"/>
        <v>1</v>
      </c>
      <c r="L111" s="185">
        <f t="shared" si="66"/>
        <v>-460203.5</v>
      </c>
      <c r="M111" s="186">
        <f t="shared" si="67"/>
        <v>0.36099999999999999</v>
      </c>
      <c r="N111" s="194">
        <f t="shared" si="61"/>
        <v>14952.2</v>
      </c>
    </row>
    <row r="112" spans="1:14" s="1" customFormat="1" ht="15" hidden="1" customHeight="1" x14ac:dyDescent="0.2">
      <c r="A112" s="105"/>
      <c r="B112" s="7" t="s">
        <v>170</v>
      </c>
      <c r="C112" s="5"/>
      <c r="D112" s="5"/>
      <c r="E112" s="5"/>
      <c r="F112" s="5"/>
      <c r="G112" s="5"/>
      <c r="H112" s="5"/>
      <c r="I112" s="144"/>
      <c r="J112" s="153">
        <v>0</v>
      </c>
      <c r="K112" s="195" t="e">
        <f t="shared" si="51"/>
        <v>#DIV/0!</v>
      </c>
      <c r="L112" s="185"/>
      <c r="M112" s="186"/>
      <c r="N112" s="194">
        <f t="shared" si="61"/>
        <v>0</v>
      </c>
    </row>
    <row r="113" spans="1:14" s="1" customFormat="1" ht="40.5" hidden="1" customHeight="1" x14ac:dyDescent="0.2">
      <c r="A113" s="105" t="s">
        <v>222</v>
      </c>
      <c r="B113" s="172" t="s">
        <v>223</v>
      </c>
      <c r="C113" s="5">
        <v>0</v>
      </c>
      <c r="D113" s="124">
        <v>372480</v>
      </c>
      <c r="E113" s="5">
        <v>54256</v>
      </c>
      <c r="F113" s="5">
        <v>54256</v>
      </c>
      <c r="G113" s="5">
        <v>404139.1</v>
      </c>
      <c r="H113" s="5">
        <v>54256</v>
      </c>
      <c r="I113" s="144">
        <f>H113/$H$228</f>
        <v>7.8E-2</v>
      </c>
      <c r="J113" s="153">
        <f t="shared" si="68"/>
        <v>1</v>
      </c>
      <c r="K113" s="195">
        <f t="shared" si="51"/>
        <v>1</v>
      </c>
      <c r="L113" s="185">
        <f>H113-D113</f>
        <v>-318224</v>
      </c>
      <c r="M113" s="186">
        <f t="shared" ref="M113" si="69">H113/D113</f>
        <v>0.14599999999999999</v>
      </c>
      <c r="N113" s="194">
        <f t="shared" si="61"/>
        <v>-349883.1</v>
      </c>
    </row>
    <row r="114" spans="1:14" s="1" customFormat="1" x14ac:dyDescent="0.2">
      <c r="A114" s="3" t="s">
        <v>135</v>
      </c>
      <c r="B114" s="7" t="s">
        <v>123</v>
      </c>
      <c r="C114" s="5">
        <f>C116+C118</f>
        <v>6739.1</v>
      </c>
      <c r="D114" s="5">
        <f>D116+D118</f>
        <v>6739.1</v>
      </c>
      <c r="E114" s="5">
        <f t="shared" ref="E114" si="70">E116+E118</f>
        <v>2279.6</v>
      </c>
      <c r="F114" s="5">
        <v>2347.5</v>
      </c>
      <c r="G114" s="5">
        <f t="shared" ref="G114" si="71">G116+G118</f>
        <v>2279.6</v>
      </c>
      <c r="H114" s="5">
        <v>2347.5</v>
      </c>
      <c r="I114" s="144">
        <f>H114/$H$228</f>
        <v>3.0000000000000001E-3</v>
      </c>
      <c r="J114" s="153">
        <f t="shared" si="68"/>
        <v>1.03</v>
      </c>
      <c r="K114" s="195">
        <f t="shared" si="51"/>
        <v>1</v>
      </c>
      <c r="L114" s="185">
        <f>H114-D114</f>
        <v>-4391.6000000000004</v>
      </c>
      <c r="M114" s="186">
        <f>H114/D114</f>
        <v>0.34799999999999998</v>
      </c>
      <c r="N114" s="194">
        <f t="shared" si="61"/>
        <v>67.900000000000006</v>
      </c>
    </row>
    <row r="115" spans="1:14" s="1" customFormat="1" x14ac:dyDescent="0.2">
      <c r="A115" s="3"/>
      <c r="B115" s="6" t="s">
        <v>26</v>
      </c>
      <c r="C115" s="5"/>
      <c r="D115" s="5"/>
      <c r="E115" s="5"/>
      <c r="F115" s="5"/>
      <c r="G115" s="5"/>
      <c r="H115" s="5"/>
      <c r="I115" s="144"/>
      <c r="J115" s="153">
        <v>0</v>
      </c>
      <c r="K115" s="195"/>
      <c r="L115" s="185"/>
      <c r="M115" s="186"/>
      <c r="N115" s="194"/>
    </row>
    <row r="116" spans="1:14" s="30" customFormat="1" ht="40.5" x14ac:dyDescent="0.2">
      <c r="A116" s="12" t="s">
        <v>195</v>
      </c>
      <c r="B116" s="27" t="s">
        <v>136</v>
      </c>
      <c r="C116" s="132">
        <v>2739.1</v>
      </c>
      <c r="D116" s="132">
        <v>2739.1</v>
      </c>
      <c r="E116" s="132">
        <v>1370</v>
      </c>
      <c r="F116" s="132">
        <v>1875.1</v>
      </c>
      <c r="G116" s="132">
        <v>1370</v>
      </c>
      <c r="H116" s="132">
        <v>1875.1</v>
      </c>
      <c r="I116" s="158">
        <f>H116/$H$228</f>
        <v>3.0000000000000001E-3</v>
      </c>
      <c r="J116" s="153">
        <f t="shared" si="68"/>
        <v>1.369</v>
      </c>
      <c r="K116" s="195">
        <f t="shared" si="51"/>
        <v>1</v>
      </c>
      <c r="L116" s="191">
        <f>H116-D116</f>
        <v>-864</v>
      </c>
      <c r="M116" s="195">
        <f>H116/D116</f>
        <v>0.68500000000000005</v>
      </c>
      <c r="N116" s="194">
        <f t="shared" si="61"/>
        <v>505.1</v>
      </c>
    </row>
    <row r="117" spans="1:14" s="30" customFormat="1" ht="54" hidden="1" customHeight="1" x14ac:dyDescent="0.2">
      <c r="A117" s="12"/>
      <c r="B117" s="27" t="s">
        <v>136</v>
      </c>
      <c r="C117" s="132">
        <v>0</v>
      </c>
      <c r="D117" s="132">
        <v>0</v>
      </c>
      <c r="E117" s="132">
        <v>0</v>
      </c>
      <c r="F117" s="132">
        <v>0</v>
      </c>
      <c r="G117" s="132">
        <v>0</v>
      </c>
      <c r="H117" s="132">
        <v>0</v>
      </c>
      <c r="I117" s="158">
        <f>H117/$H$228</f>
        <v>0</v>
      </c>
      <c r="J117" s="153" t="e">
        <f t="shared" si="68"/>
        <v>#DIV/0!</v>
      </c>
      <c r="K117" s="195" t="e">
        <f t="shared" si="51"/>
        <v>#DIV/0!</v>
      </c>
      <c r="L117" s="191">
        <f>H117-D117</f>
        <v>0</v>
      </c>
      <c r="M117" s="195" t="e">
        <f>H117/D117</f>
        <v>#DIV/0!</v>
      </c>
      <c r="N117" s="194">
        <f t="shared" si="61"/>
        <v>0</v>
      </c>
    </row>
    <row r="118" spans="1:14" s="30" customFormat="1" ht="23.25" customHeight="1" x14ac:dyDescent="0.2">
      <c r="A118" s="12" t="s">
        <v>214</v>
      </c>
      <c r="B118" s="27" t="s">
        <v>174</v>
      </c>
      <c r="C118" s="132">
        <v>4000</v>
      </c>
      <c r="D118" s="132">
        <v>4000</v>
      </c>
      <c r="E118" s="132">
        <v>909.6</v>
      </c>
      <c r="F118" s="132">
        <v>472.4</v>
      </c>
      <c r="G118" s="132">
        <v>909.6</v>
      </c>
      <c r="H118" s="132">
        <v>472.4</v>
      </c>
      <c r="I118" s="158">
        <f>H118/$H$228</f>
        <v>1E-3</v>
      </c>
      <c r="J118" s="153">
        <f t="shared" si="68"/>
        <v>0.51900000000000002</v>
      </c>
      <c r="K118" s="195">
        <f t="shared" si="51"/>
        <v>1</v>
      </c>
      <c r="L118" s="191">
        <f>H118-D118</f>
        <v>-3527.6</v>
      </c>
      <c r="M118" s="195">
        <f>H118/D118</f>
        <v>0.11799999999999999</v>
      </c>
      <c r="N118" s="194">
        <f t="shared" si="61"/>
        <v>-437.2</v>
      </c>
    </row>
    <row r="119" spans="1:14" s="1" customFormat="1" x14ac:dyDescent="0.2">
      <c r="A119" s="3"/>
      <c r="B119" s="213" t="s">
        <v>120</v>
      </c>
      <c r="C119" s="5"/>
      <c r="D119" s="5"/>
      <c r="E119" s="5"/>
      <c r="F119" s="5"/>
      <c r="G119" s="5"/>
      <c r="H119" s="5"/>
      <c r="I119" s="158"/>
      <c r="J119" s="153"/>
      <c r="K119" s="195"/>
      <c r="L119" s="191"/>
      <c r="M119" s="195"/>
      <c r="N119" s="194"/>
    </row>
    <row r="120" spans="1:14" s="1" customFormat="1" x14ac:dyDescent="0.2">
      <c r="A120" s="3"/>
      <c r="B120" s="15" t="s">
        <v>95</v>
      </c>
      <c r="C120" s="5">
        <v>89656</v>
      </c>
      <c r="D120" s="5">
        <v>89371.7</v>
      </c>
      <c r="E120" s="5"/>
      <c r="F120" s="5">
        <v>70701.600000000006</v>
      </c>
      <c r="G120" s="5">
        <v>20251.7</v>
      </c>
      <c r="H120" s="5">
        <v>70701.600000000006</v>
      </c>
      <c r="I120" s="158">
        <f t="shared" ref="I120" si="72">H120/$H$228</f>
        <v>0.10199999999999999</v>
      </c>
      <c r="J120" s="153"/>
      <c r="K120" s="195">
        <f t="shared" si="51"/>
        <v>1</v>
      </c>
      <c r="L120" s="191">
        <f t="shared" ref="L120" si="73">H120-D120</f>
        <v>-18670.099999999999</v>
      </c>
      <c r="M120" s="195">
        <f t="shared" ref="M120" si="74">H120/D120</f>
        <v>0.79100000000000004</v>
      </c>
      <c r="N120" s="194">
        <f t="shared" si="61"/>
        <v>50449.9</v>
      </c>
    </row>
    <row r="121" spans="1:14" s="1" customFormat="1" x14ac:dyDescent="0.2">
      <c r="A121" s="3"/>
      <c r="B121" s="15" t="s">
        <v>137</v>
      </c>
      <c r="C121" s="5">
        <v>832253.6</v>
      </c>
      <c r="D121" s="5">
        <v>977164.9</v>
      </c>
      <c r="E121" s="5">
        <v>428552</v>
      </c>
      <c r="F121" s="5">
        <v>424344.7</v>
      </c>
      <c r="G121" s="5">
        <v>428552</v>
      </c>
      <c r="H121" s="5">
        <v>424344.7</v>
      </c>
      <c r="I121" s="144">
        <f>H121/$H$228</f>
        <v>0.61099999999999999</v>
      </c>
      <c r="J121" s="153">
        <f t="shared" si="68"/>
        <v>0.99</v>
      </c>
      <c r="K121" s="195">
        <f t="shared" si="51"/>
        <v>1</v>
      </c>
      <c r="L121" s="185">
        <f>H121-D121</f>
        <v>-552820.19999999995</v>
      </c>
      <c r="M121" s="186">
        <f>H121/D121</f>
        <v>0.434</v>
      </c>
      <c r="N121" s="194">
        <f>H121-G121</f>
        <v>-4207.3</v>
      </c>
    </row>
    <row r="122" spans="1:14" s="21" customFormat="1" x14ac:dyDescent="0.2">
      <c r="A122" s="62" t="s">
        <v>21</v>
      </c>
      <c r="B122" s="67" t="s">
        <v>8</v>
      </c>
      <c r="C122" s="65">
        <f>C123+C141+C159+C138</f>
        <v>225388.2</v>
      </c>
      <c r="D122" s="65">
        <f>D123+D141+D159+D138</f>
        <v>238118</v>
      </c>
      <c r="E122" s="65">
        <f t="shared" ref="E122" si="75">E123+E141+E159+E138</f>
        <v>155364.79999999999</v>
      </c>
      <c r="F122" s="65">
        <f>F123+F141+F159</f>
        <v>101783</v>
      </c>
      <c r="G122" s="65">
        <f>G123+G141+G159</f>
        <v>152635.29999999999</v>
      </c>
      <c r="H122" s="65">
        <f>H123+H141+H159</f>
        <v>101783</v>
      </c>
      <c r="I122" s="64">
        <f>H122/$H$228</f>
        <v>0.14699999999999999</v>
      </c>
      <c r="J122" s="153">
        <f>H122/E122</f>
        <v>0.65500000000000003</v>
      </c>
      <c r="K122" s="153">
        <f t="shared" si="51"/>
        <v>1</v>
      </c>
      <c r="L122" s="154">
        <f>H122-D122</f>
        <v>-136335</v>
      </c>
      <c r="M122" s="153">
        <f>H122/D122</f>
        <v>0.42699999999999999</v>
      </c>
      <c r="N122" s="155">
        <f>H122-G122</f>
        <v>-50852.3</v>
      </c>
    </row>
    <row r="123" spans="1:14" x14ac:dyDescent="0.2">
      <c r="A123" s="12" t="s">
        <v>54</v>
      </c>
      <c r="B123" s="26" t="s">
        <v>66</v>
      </c>
      <c r="C123" s="132">
        <f>C125+C128+C127+C129+C130+C136+C137</f>
        <v>9359</v>
      </c>
      <c r="D123" s="132">
        <f>D125+D128+D127+D129+D130+D136+D137</f>
        <v>12193.6</v>
      </c>
      <c r="E123" s="132">
        <f t="shared" ref="E123:H123" si="76">E125+E128+E127+E129+E130+E136+E137</f>
        <v>6809.9</v>
      </c>
      <c r="F123" s="132">
        <f t="shared" si="76"/>
        <v>4536</v>
      </c>
      <c r="G123" s="132">
        <f>G125+G128+G127+G129+G130+G136+G137</f>
        <v>6809.9</v>
      </c>
      <c r="H123" s="132">
        <f t="shared" si="76"/>
        <v>4536</v>
      </c>
      <c r="I123" s="144">
        <f>H123/$H$228</f>
        <v>7.0000000000000001E-3</v>
      </c>
      <c r="J123" s="153">
        <f>H123/E123</f>
        <v>0.66600000000000004</v>
      </c>
      <c r="K123" s="195">
        <f t="shared" si="51"/>
        <v>1</v>
      </c>
      <c r="L123" s="185">
        <f>H123-D123</f>
        <v>-7657.6</v>
      </c>
      <c r="M123" s="186">
        <f>H123/D123</f>
        <v>0.372</v>
      </c>
      <c r="N123" s="194">
        <f>H123-G123</f>
        <v>-2273.9</v>
      </c>
    </row>
    <row r="124" spans="1:14" x14ac:dyDescent="0.2">
      <c r="A124" s="12"/>
      <c r="B124" s="26" t="s">
        <v>170</v>
      </c>
      <c r="C124" s="133"/>
      <c r="D124" s="133"/>
      <c r="E124" s="133"/>
      <c r="F124" s="133"/>
      <c r="G124" s="133"/>
      <c r="H124" s="133"/>
      <c r="I124" s="151"/>
      <c r="J124" s="153"/>
      <c r="K124" s="195"/>
      <c r="L124" s="185"/>
      <c r="M124" s="186"/>
      <c r="N124" s="194"/>
    </row>
    <row r="125" spans="1:14" ht="40.5" x14ac:dyDescent="0.2">
      <c r="A125" s="166" t="s">
        <v>240</v>
      </c>
      <c r="B125" s="27" t="s">
        <v>68</v>
      </c>
      <c r="C125" s="132">
        <v>476.3</v>
      </c>
      <c r="D125" s="132">
        <v>476.3</v>
      </c>
      <c r="E125" s="132">
        <v>224.4</v>
      </c>
      <c r="F125" s="132">
        <v>0</v>
      </c>
      <c r="G125" s="132">
        <v>224.4</v>
      </c>
      <c r="H125" s="132">
        <v>0</v>
      </c>
      <c r="I125" s="144">
        <f t="shared" ref="I125:I130" si="77">H125/$H$228</f>
        <v>0</v>
      </c>
      <c r="J125" s="153">
        <f t="shared" ref="J125:J126" si="78">H125/E125</f>
        <v>0</v>
      </c>
      <c r="K125" s="195">
        <v>0</v>
      </c>
      <c r="L125" s="185">
        <f t="shared" ref="L125:L130" si="79">H125-D125</f>
        <v>-476.3</v>
      </c>
      <c r="M125" s="186">
        <f t="shared" ref="M125:M151" si="80">H125/D125</f>
        <v>0</v>
      </c>
      <c r="N125" s="194">
        <f t="shared" ref="N125:N151" si="81">H125-G125</f>
        <v>-224.4</v>
      </c>
    </row>
    <row r="126" spans="1:14" ht="27" hidden="1" customHeight="1" x14ac:dyDescent="0.2">
      <c r="A126" s="12" t="s">
        <v>196</v>
      </c>
      <c r="B126" s="27" t="s">
        <v>179</v>
      </c>
      <c r="C126" s="132">
        <v>0</v>
      </c>
      <c r="D126" s="125">
        <v>0</v>
      </c>
      <c r="E126" s="132">
        <v>0</v>
      </c>
      <c r="F126" s="125">
        <v>0</v>
      </c>
      <c r="G126" s="132">
        <v>0</v>
      </c>
      <c r="H126" s="125">
        <v>0</v>
      </c>
      <c r="I126" s="144">
        <f t="shared" si="77"/>
        <v>0</v>
      </c>
      <c r="J126" s="153" t="e">
        <f t="shared" si="78"/>
        <v>#DIV/0!</v>
      </c>
      <c r="K126" s="195">
        <v>0</v>
      </c>
      <c r="L126" s="185">
        <f t="shared" si="79"/>
        <v>0</v>
      </c>
      <c r="M126" s="186" t="e">
        <f t="shared" si="80"/>
        <v>#DIV/0!</v>
      </c>
      <c r="N126" s="194">
        <f t="shared" si="81"/>
        <v>0</v>
      </c>
    </row>
    <row r="127" spans="1:14" ht="40.5" x14ac:dyDescent="0.2">
      <c r="A127" s="12" t="s">
        <v>188</v>
      </c>
      <c r="B127" s="27" t="s">
        <v>189</v>
      </c>
      <c r="C127" s="132">
        <v>0</v>
      </c>
      <c r="D127" s="132">
        <v>0</v>
      </c>
      <c r="E127" s="132">
        <v>2399.5</v>
      </c>
      <c r="F127" s="132">
        <v>0</v>
      </c>
      <c r="G127" s="132">
        <v>2399.5</v>
      </c>
      <c r="H127" s="132">
        <v>0</v>
      </c>
      <c r="I127" s="144">
        <f t="shared" si="77"/>
        <v>0</v>
      </c>
      <c r="J127" s="153">
        <f>H127/E127</f>
        <v>0</v>
      </c>
      <c r="K127" s="195">
        <v>0</v>
      </c>
      <c r="L127" s="185">
        <f t="shared" si="79"/>
        <v>0</v>
      </c>
      <c r="M127" s="186">
        <v>0</v>
      </c>
      <c r="N127" s="194">
        <f t="shared" si="81"/>
        <v>-2399.5</v>
      </c>
    </row>
    <row r="128" spans="1:14" ht="27" hidden="1" customHeight="1" x14ac:dyDescent="0.2">
      <c r="A128" s="166" t="s">
        <v>197</v>
      </c>
      <c r="B128" s="27" t="s">
        <v>296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  <c r="I128" s="144">
        <f t="shared" si="77"/>
        <v>0</v>
      </c>
      <c r="J128" s="153">
        <v>0</v>
      </c>
      <c r="K128" s="195" t="e">
        <f t="shared" si="51"/>
        <v>#DIV/0!</v>
      </c>
      <c r="L128" s="185">
        <f t="shared" si="79"/>
        <v>0</v>
      </c>
      <c r="M128" s="186">
        <v>0</v>
      </c>
      <c r="N128" s="194">
        <f t="shared" si="81"/>
        <v>0</v>
      </c>
    </row>
    <row r="129" spans="1:14" ht="40.5" x14ac:dyDescent="0.2">
      <c r="A129" s="166" t="s">
        <v>225</v>
      </c>
      <c r="B129" s="27" t="s">
        <v>159</v>
      </c>
      <c r="C129" s="132">
        <v>6732.7</v>
      </c>
      <c r="D129" s="132">
        <v>8982</v>
      </c>
      <c r="E129" s="132">
        <v>3947.5</v>
      </c>
      <c r="F129" s="132">
        <v>3994.5</v>
      </c>
      <c r="G129" s="132">
        <v>3947.5</v>
      </c>
      <c r="H129" s="132">
        <v>3994.5</v>
      </c>
      <c r="I129" s="144">
        <f t="shared" si="77"/>
        <v>6.0000000000000001E-3</v>
      </c>
      <c r="J129" s="153">
        <f t="shared" ref="J129:J150" si="82">H129/E129</f>
        <v>1.012</v>
      </c>
      <c r="K129" s="195">
        <f t="shared" si="51"/>
        <v>1</v>
      </c>
      <c r="L129" s="185">
        <f t="shared" si="79"/>
        <v>-4987.5</v>
      </c>
      <c r="M129" s="186">
        <f t="shared" si="80"/>
        <v>0.44500000000000001</v>
      </c>
      <c r="N129" s="194">
        <f t="shared" si="81"/>
        <v>47</v>
      </c>
    </row>
    <row r="130" spans="1:14" ht="27" x14ac:dyDescent="0.2">
      <c r="A130" s="166" t="s">
        <v>300</v>
      </c>
      <c r="B130" s="27" t="s">
        <v>226</v>
      </c>
      <c r="C130" s="132">
        <v>1150</v>
      </c>
      <c r="D130" s="132">
        <f>1271+D132</f>
        <v>1735.3</v>
      </c>
      <c r="E130" s="132">
        <f>132.6+105.9</f>
        <v>238.5</v>
      </c>
      <c r="F130" s="132">
        <f>398.4+F132</f>
        <v>541.5</v>
      </c>
      <c r="G130" s="132">
        <v>238.5</v>
      </c>
      <c r="H130" s="132">
        <f t="shared" ref="H130" si="83">398.4+H132</f>
        <v>541.5</v>
      </c>
      <c r="I130" s="144">
        <f t="shared" si="77"/>
        <v>1E-3</v>
      </c>
      <c r="J130" s="153">
        <f t="shared" si="82"/>
        <v>2.27</v>
      </c>
      <c r="K130" s="195">
        <f t="shared" si="51"/>
        <v>1</v>
      </c>
      <c r="L130" s="185">
        <f t="shared" si="79"/>
        <v>-1193.8</v>
      </c>
      <c r="M130" s="186">
        <f t="shared" si="80"/>
        <v>0.312</v>
      </c>
      <c r="N130" s="194">
        <f t="shared" si="81"/>
        <v>303</v>
      </c>
    </row>
    <row r="131" spans="1:14" x14ac:dyDescent="0.2">
      <c r="A131" s="12"/>
      <c r="B131" s="117" t="s">
        <v>170</v>
      </c>
      <c r="C131" s="132"/>
      <c r="D131" s="132"/>
      <c r="E131" s="132"/>
      <c r="F131" s="132"/>
      <c r="G131" s="132"/>
      <c r="H131" s="132"/>
      <c r="I131" s="151"/>
      <c r="J131" s="153"/>
      <c r="K131" s="195"/>
      <c r="L131" s="185"/>
      <c r="M131" s="186"/>
      <c r="N131" s="194"/>
    </row>
    <row r="132" spans="1:14" ht="27" x14ac:dyDescent="0.2">
      <c r="A132" s="12"/>
      <c r="B132" s="27" t="s">
        <v>246</v>
      </c>
      <c r="C132" s="132">
        <f>SUM(C133:C135)</f>
        <v>0</v>
      </c>
      <c r="D132" s="132">
        <f>SUM(D133:D135)</f>
        <v>464.3</v>
      </c>
      <c r="E132" s="132">
        <f t="shared" ref="E132" si="84">SUM(E133:E135)</f>
        <v>132.6</v>
      </c>
      <c r="F132" s="132">
        <v>143.1</v>
      </c>
      <c r="G132" s="132">
        <f t="shared" ref="G132" si="85">SUM(G133:G135)</f>
        <v>132.6</v>
      </c>
      <c r="H132" s="132">
        <v>143.1</v>
      </c>
      <c r="I132" s="144">
        <f>H132/$H$228</f>
        <v>0</v>
      </c>
      <c r="J132" s="153">
        <f t="shared" si="82"/>
        <v>1.079</v>
      </c>
      <c r="K132" s="195">
        <f t="shared" si="51"/>
        <v>1</v>
      </c>
      <c r="L132" s="185">
        <f>H132-D132</f>
        <v>-321.2</v>
      </c>
      <c r="M132" s="186">
        <f t="shared" si="80"/>
        <v>0.308</v>
      </c>
      <c r="N132" s="194">
        <f t="shared" si="81"/>
        <v>10.5</v>
      </c>
    </row>
    <row r="133" spans="1:14" ht="13.5" customHeight="1" x14ac:dyDescent="0.2">
      <c r="A133" s="79"/>
      <c r="B133" s="219" t="s">
        <v>95</v>
      </c>
      <c r="C133" s="87">
        <v>0</v>
      </c>
      <c r="D133" s="87">
        <v>0</v>
      </c>
      <c r="E133" s="87"/>
      <c r="F133" s="87">
        <v>0</v>
      </c>
      <c r="G133" s="87">
        <v>120.7</v>
      </c>
      <c r="H133" s="87">
        <v>0</v>
      </c>
      <c r="I133" s="145">
        <f t="shared" ref="I133:I134" si="86">H133/$H$228</f>
        <v>0</v>
      </c>
      <c r="J133" s="153"/>
      <c r="K133" s="195">
        <v>0</v>
      </c>
      <c r="L133" s="185">
        <f>H133-D133</f>
        <v>0</v>
      </c>
      <c r="M133" s="186">
        <v>0</v>
      </c>
      <c r="N133" s="194">
        <f t="shared" si="81"/>
        <v>-120.7</v>
      </c>
    </row>
    <row r="134" spans="1:14" x14ac:dyDescent="0.2">
      <c r="A134" s="73"/>
      <c r="B134" s="74" t="s">
        <v>249</v>
      </c>
      <c r="C134" s="87">
        <v>0</v>
      </c>
      <c r="D134" s="87">
        <v>464.3</v>
      </c>
      <c r="E134" s="87">
        <v>120.7</v>
      </c>
      <c r="F134" s="87">
        <v>0</v>
      </c>
      <c r="G134" s="87">
        <v>11.9</v>
      </c>
      <c r="H134" s="87">
        <v>0</v>
      </c>
      <c r="I134" s="145">
        <f t="shared" si="86"/>
        <v>0</v>
      </c>
      <c r="J134" s="153">
        <f t="shared" si="82"/>
        <v>0</v>
      </c>
      <c r="K134" s="195">
        <v>0</v>
      </c>
      <c r="L134" s="185">
        <f t="shared" ref="L134:L141" si="87">H134-D134</f>
        <v>-464.3</v>
      </c>
      <c r="M134" s="186">
        <f t="shared" si="80"/>
        <v>0</v>
      </c>
      <c r="N134" s="194">
        <f t="shared" si="81"/>
        <v>-11.9</v>
      </c>
    </row>
    <row r="135" spans="1:14" ht="13.5" hidden="1" customHeight="1" x14ac:dyDescent="0.2">
      <c r="A135" s="73"/>
      <c r="B135" s="74" t="s">
        <v>250</v>
      </c>
      <c r="C135" s="87">
        <v>0</v>
      </c>
      <c r="D135" s="87">
        <v>0</v>
      </c>
      <c r="E135" s="87">
        <v>11.9</v>
      </c>
      <c r="F135" s="87">
        <v>0</v>
      </c>
      <c r="G135" s="87">
        <v>0</v>
      </c>
      <c r="H135" s="87">
        <v>0</v>
      </c>
      <c r="I135" s="145">
        <f>H135/$H$228</f>
        <v>0</v>
      </c>
      <c r="J135" s="153">
        <f t="shared" si="82"/>
        <v>0</v>
      </c>
      <c r="K135" s="195" t="e">
        <f t="shared" si="51"/>
        <v>#DIV/0!</v>
      </c>
      <c r="L135" s="185">
        <f t="shared" si="87"/>
        <v>0</v>
      </c>
      <c r="M135" s="186" t="e">
        <f t="shared" si="80"/>
        <v>#DIV/0!</v>
      </c>
      <c r="N135" s="194">
        <f t="shared" si="81"/>
        <v>0</v>
      </c>
    </row>
    <row r="136" spans="1:14" ht="34.5" customHeight="1" x14ac:dyDescent="0.2">
      <c r="A136" s="166" t="s">
        <v>198</v>
      </c>
      <c r="B136" s="27" t="s">
        <v>261</v>
      </c>
      <c r="C136" s="132">
        <v>1000</v>
      </c>
      <c r="D136" s="132">
        <v>1000</v>
      </c>
      <c r="E136" s="132">
        <v>0</v>
      </c>
      <c r="F136" s="132">
        <v>0</v>
      </c>
      <c r="G136" s="132">
        <v>0</v>
      </c>
      <c r="H136" s="132">
        <v>0</v>
      </c>
      <c r="I136" s="151">
        <f>H136/$H$228</f>
        <v>0</v>
      </c>
      <c r="J136" s="153">
        <v>0</v>
      </c>
      <c r="K136" s="195">
        <v>0</v>
      </c>
      <c r="L136" s="185">
        <f t="shared" si="87"/>
        <v>-1000</v>
      </c>
      <c r="M136" s="186">
        <f t="shared" si="80"/>
        <v>0</v>
      </c>
      <c r="N136" s="194">
        <f t="shared" si="81"/>
        <v>0</v>
      </c>
    </row>
    <row r="137" spans="1:14" ht="13.5" hidden="1" customHeight="1" x14ac:dyDescent="0.2">
      <c r="A137" s="12"/>
      <c r="B137" s="27" t="s">
        <v>178</v>
      </c>
      <c r="C137" s="132">
        <v>0</v>
      </c>
      <c r="D137" s="132">
        <v>0</v>
      </c>
      <c r="E137" s="132">
        <v>0</v>
      </c>
      <c r="F137" s="132">
        <v>0</v>
      </c>
      <c r="G137" s="132">
        <v>0</v>
      </c>
      <c r="H137" s="132">
        <v>0</v>
      </c>
      <c r="I137" s="151">
        <f>H137/$H$228</f>
        <v>0</v>
      </c>
      <c r="J137" s="153" t="e">
        <f t="shared" si="82"/>
        <v>#DIV/0!</v>
      </c>
      <c r="K137" s="195" t="e">
        <f t="shared" si="51"/>
        <v>#DIV/0!</v>
      </c>
      <c r="L137" s="185">
        <f t="shared" si="87"/>
        <v>0</v>
      </c>
      <c r="M137" s="186" t="e">
        <f t="shared" si="80"/>
        <v>#DIV/0!</v>
      </c>
      <c r="N137" s="194">
        <f t="shared" si="81"/>
        <v>0</v>
      </c>
    </row>
    <row r="138" spans="1:14" s="169" customFormat="1" ht="13.5" hidden="1" customHeight="1" x14ac:dyDescent="0.2">
      <c r="A138" s="167" t="s">
        <v>138</v>
      </c>
      <c r="B138" s="170" t="s">
        <v>139</v>
      </c>
      <c r="C138" s="131">
        <v>0</v>
      </c>
      <c r="D138" s="131">
        <v>0</v>
      </c>
      <c r="E138" s="131"/>
      <c r="F138" s="131">
        <v>9.1999999999999993</v>
      </c>
      <c r="G138" s="131">
        <v>9.1999999999999993</v>
      </c>
      <c r="H138" s="131">
        <v>9.1999999999999993</v>
      </c>
      <c r="I138" s="151">
        <f>H138/$H$228</f>
        <v>0</v>
      </c>
      <c r="J138" s="153" t="e">
        <f t="shared" si="82"/>
        <v>#DIV/0!</v>
      </c>
      <c r="K138" s="195">
        <f t="shared" si="51"/>
        <v>1</v>
      </c>
      <c r="L138" s="185">
        <f t="shared" si="87"/>
        <v>9.1999999999999993</v>
      </c>
      <c r="M138" s="186" t="e">
        <f t="shared" si="80"/>
        <v>#DIV/0!</v>
      </c>
      <c r="N138" s="194">
        <f t="shared" si="81"/>
        <v>0</v>
      </c>
    </row>
    <row r="139" spans="1:14" ht="13.5" hidden="1" customHeight="1" x14ac:dyDescent="0.2">
      <c r="A139" s="12"/>
      <c r="B139" s="8" t="s">
        <v>26</v>
      </c>
      <c r="C139" s="8"/>
      <c r="D139" s="131"/>
      <c r="E139" s="131"/>
      <c r="F139" s="5"/>
      <c r="G139" s="5"/>
      <c r="H139" s="5"/>
      <c r="I139" s="151"/>
      <c r="J139" s="153" t="e">
        <f t="shared" si="82"/>
        <v>#DIV/0!</v>
      </c>
      <c r="K139" s="195" t="e">
        <f t="shared" ref="K139:K165" si="88">H139/F139</f>
        <v>#DIV/0!</v>
      </c>
      <c r="L139" s="185">
        <f t="shared" si="87"/>
        <v>0</v>
      </c>
      <c r="M139" s="186" t="e">
        <f t="shared" si="80"/>
        <v>#DIV/0!</v>
      </c>
      <c r="N139" s="194">
        <f t="shared" si="81"/>
        <v>0</v>
      </c>
    </row>
    <row r="140" spans="1:14" ht="13.5" hidden="1" customHeight="1" x14ac:dyDescent="0.2">
      <c r="A140" s="12"/>
      <c r="B140" s="7" t="s">
        <v>92</v>
      </c>
      <c r="C140" s="131"/>
      <c r="D140" s="131"/>
      <c r="E140" s="131"/>
      <c r="F140" s="5"/>
      <c r="G140" s="5"/>
      <c r="H140" s="5"/>
      <c r="I140" s="151">
        <f>H140/$H$228</f>
        <v>0</v>
      </c>
      <c r="J140" s="153" t="e">
        <f t="shared" si="82"/>
        <v>#DIV/0!</v>
      </c>
      <c r="K140" s="195" t="e">
        <f t="shared" si="88"/>
        <v>#DIV/0!</v>
      </c>
      <c r="L140" s="185">
        <f t="shared" si="87"/>
        <v>0</v>
      </c>
      <c r="M140" s="186" t="e">
        <f t="shared" si="80"/>
        <v>#DIV/0!</v>
      </c>
      <c r="N140" s="194">
        <f t="shared" si="81"/>
        <v>0</v>
      </c>
    </row>
    <row r="141" spans="1:14" x14ac:dyDescent="0.2">
      <c r="A141" s="12" t="s">
        <v>41</v>
      </c>
      <c r="B141" s="8" t="s">
        <v>42</v>
      </c>
      <c r="C141" s="131">
        <f>C145+C146+C147+C148+C143+C144</f>
        <v>214391.1</v>
      </c>
      <c r="D141" s="131">
        <f>D145+D146+D147+D148+D143+D144+D156+D157+D158</f>
        <v>222693.3</v>
      </c>
      <c r="E141" s="131">
        <f t="shared" ref="E141" si="89">E145+E146+E147+E148+E143+E144+E156+E157+E158</f>
        <v>147797.1</v>
      </c>
      <c r="F141" s="131">
        <f>F143+F144+F145+F146+F147+F156+F157+F158</f>
        <v>96566.3</v>
      </c>
      <c r="G141" s="131">
        <f>G145+G146+G147+G148+G143+G144+G156+G157+G158</f>
        <v>145067.6</v>
      </c>
      <c r="H141" s="131">
        <f>H143+H144+H145+H146+H147+H156+H157+H158</f>
        <v>96566.3</v>
      </c>
      <c r="I141" s="151">
        <f>H141/$H$228</f>
        <v>0.13900000000000001</v>
      </c>
      <c r="J141" s="153">
        <f t="shared" si="82"/>
        <v>0.65300000000000002</v>
      </c>
      <c r="K141" s="195">
        <f t="shared" si="88"/>
        <v>1</v>
      </c>
      <c r="L141" s="185">
        <f t="shared" si="87"/>
        <v>-126127</v>
      </c>
      <c r="M141" s="186">
        <f t="shared" si="80"/>
        <v>0.434</v>
      </c>
      <c r="N141" s="194">
        <f t="shared" si="81"/>
        <v>-48501.3</v>
      </c>
    </row>
    <row r="142" spans="1:14" x14ac:dyDescent="0.2">
      <c r="A142" s="12"/>
      <c r="B142" s="8" t="s">
        <v>26</v>
      </c>
      <c r="C142" s="8"/>
      <c r="D142" s="131"/>
      <c r="E142" s="5"/>
      <c r="F142" s="5"/>
      <c r="G142" s="5"/>
      <c r="H142" s="5"/>
      <c r="I142" s="151"/>
      <c r="J142" s="153"/>
      <c r="K142" s="195"/>
      <c r="L142" s="185"/>
      <c r="M142" s="186"/>
      <c r="N142" s="194"/>
    </row>
    <row r="143" spans="1:14" ht="27" x14ac:dyDescent="0.2">
      <c r="A143" s="12" t="s">
        <v>215</v>
      </c>
      <c r="B143" s="27" t="s">
        <v>216</v>
      </c>
      <c r="C143" s="132">
        <v>500</v>
      </c>
      <c r="D143" s="132">
        <v>500</v>
      </c>
      <c r="E143" s="132">
        <v>0</v>
      </c>
      <c r="F143" s="132">
        <v>0</v>
      </c>
      <c r="G143" s="132">
        <v>0</v>
      </c>
      <c r="H143" s="132">
        <v>0</v>
      </c>
      <c r="I143" s="151">
        <f>H143/$H$228</f>
        <v>0</v>
      </c>
      <c r="J143" s="153">
        <v>0</v>
      </c>
      <c r="K143" s="195">
        <v>0</v>
      </c>
      <c r="L143" s="185">
        <f>H143-D143</f>
        <v>-500</v>
      </c>
      <c r="M143" s="186">
        <v>0</v>
      </c>
      <c r="N143" s="194">
        <f>H143-G143</f>
        <v>0</v>
      </c>
    </row>
    <row r="144" spans="1:14" ht="67.5" x14ac:dyDescent="0.2">
      <c r="A144" s="166" t="s">
        <v>259</v>
      </c>
      <c r="B144" s="8" t="s">
        <v>245</v>
      </c>
      <c r="C144" s="131">
        <v>102086.3</v>
      </c>
      <c r="D144" s="131">
        <v>102086.3</v>
      </c>
      <c r="E144" s="5">
        <v>68256.899999999994</v>
      </c>
      <c r="F144" s="5">
        <v>29888.9</v>
      </c>
      <c r="G144" s="5">
        <v>68256.899999999994</v>
      </c>
      <c r="H144" s="5">
        <v>29888.9</v>
      </c>
      <c r="I144" s="144">
        <f>H144/$H$228</f>
        <v>4.2999999999999997E-2</v>
      </c>
      <c r="J144" s="153">
        <v>0</v>
      </c>
      <c r="K144" s="195">
        <f t="shared" si="88"/>
        <v>1</v>
      </c>
      <c r="L144" s="185">
        <f t="shared" ref="L144:L151" si="90">H144-D144</f>
        <v>-72197.399999999994</v>
      </c>
      <c r="M144" s="186">
        <f t="shared" si="80"/>
        <v>0.29299999999999998</v>
      </c>
      <c r="N144" s="194">
        <f t="shared" si="81"/>
        <v>-38368</v>
      </c>
    </row>
    <row r="145" spans="1:14" x14ac:dyDescent="0.2">
      <c r="A145" s="12" t="s">
        <v>183</v>
      </c>
      <c r="B145" s="7" t="s">
        <v>92</v>
      </c>
      <c r="C145" s="131">
        <v>87108.6</v>
      </c>
      <c r="D145" s="131">
        <v>87108.6</v>
      </c>
      <c r="E145" s="5">
        <v>53311.7</v>
      </c>
      <c r="F145" s="5">
        <v>55450.9</v>
      </c>
      <c r="G145" s="5">
        <v>53311.7</v>
      </c>
      <c r="H145" s="5">
        <v>55450.9</v>
      </c>
      <c r="I145" s="144">
        <f>H145/$H$228</f>
        <v>0.08</v>
      </c>
      <c r="J145" s="153">
        <f t="shared" si="82"/>
        <v>1.04</v>
      </c>
      <c r="K145" s="195">
        <f t="shared" si="88"/>
        <v>1</v>
      </c>
      <c r="L145" s="185">
        <f t="shared" si="90"/>
        <v>-31657.7</v>
      </c>
      <c r="M145" s="186">
        <f t="shared" si="80"/>
        <v>0.63700000000000001</v>
      </c>
      <c r="N145" s="194">
        <f t="shared" si="81"/>
        <v>2139.1999999999998</v>
      </c>
    </row>
    <row r="146" spans="1:14" ht="27" x14ac:dyDescent="0.2">
      <c r="A146" s="166" t="s">
        <v>199</v>
      </c>
      <c r="B146" s="7" t="s">
        <v>260</v>
      </c>
      <c r="C146" s="131">
        <v>10056.1</v>
      </c>
      <c r="D146" s="131">
        <v>10056.1</v>
      </c>
      <c r="E146" s="5">
        <v>2391.5</v>
      </c>
      <c r="F146" s="5">
        <v>429.4</v>
      </c>
      <c r="G146" s="5">
        <v>2391.5</v>
      </c>
      <c r="H146" s="5">
        <v>429.4</v>
      </c>
      <c r="I146" s="144">
        <f>H146/$H$228</f>
        <v>1E-3</v>
      </c>
      <c r="J146" s="153">
        <f t="shared" si="82"/>
        <v>0.18</v>
      </c>
      <c r="K146" s="195">
        <f t="shared" si="88"/>
        <v>1</v>
      </c>
      <c r="L146" s="185">
        <f t="shared" si="90"/>
        <v>-9626.7000000000007</v>
      </c>
      <c r="M146" s="186">
        <f t="shared" si="80"/>
        <v>4.2999999999999997E-2</v>
      </c>
      <c r="N146" s="194">
        <f t="shared" si="81"/>
        <v>-1962.1</v>
      </c>
    </row>
    <row r="147" spans="1:14" ht="27" x14ac:dyDescent="0.2">
      <c r="A147" s="166" t="s">
        <v>297</v>
      </c>
      <c r="B147" s="7" t="s">
        <v>217</v>
      </c>
      <c r="C147" s="131">
        <v>14640.1</v>
      </c>
      <c r="D147" s="131">
        <f>21567.8+769.1+537.3+0.1</f>
        <v>22874.3</v>
      </c>
      <c r="E147" s="5">
        <v>20307.5</v>
      </c>
      <c r="F147" s="5">
        <f>9847.9+769.1+112.2+0.1</f>
        <v>10729.3</v>
      </c>
      <c r="G147" s="5">
        <v>20307.5</v>
      </c>
      <c r="H147" s="5">
        <f>9847.9+769.1+112.2+0.1</f>
        <v>10729.3</v>
      </c>
      <c r="I147" s="151">
        <f>H147/$H$228</f>
        <v>1.4999999999999999E-2</v>
      </c>
      <c r="J147" s="153">
        <f t="shared" si="82"/>
        <v>0.52800000000000002</v>
      </c>
      <c r="K147" s="195">
        <f t="shared" si="88"/>
        <v>1</v>
      </c>
      <c r="L147" s="185">
        <f t="shared" si="90"/>
        <v>-12145</v>
      </c>
      <c r="M147" s="186">
        <f t="shared" si="80"/>
        <v>0.46899999999999997</v>
      </c>
      <c r="N147" s="194">
        <f t="shared" si="81"/>
        <v>-9578.2000000000007</v>
      </c>
    </row>
    <row r="148" spans="1:14" s="169" customFormat="1" ht="27" hidden="1" customHeight="1" x14ac:dyDescent="0.2">
      <c r="A148" s="167"/>
      <c r="B148" s="168" t="s">
        <v>171</v>
      </c>
      <c r="C148" s="131">
        <v>0</v>
      </c>
      <c r="D148" s="131">
        <v>0</v>
      </c>
      <c r="E148" s="124">
        <v>2729.5</v>
      </c>
      <c r="F148" s="124">
        <v>2729.5</v>
      </c>
      <c r="G148" s="124">
        <v>0</v>
      </c>
      <c r="H148" s="124">
        <v>2729.5</v>
      </c>
      <c r="I148" s="128">
        <v>0</v>
      </c>
      <c r="J148" s="153">
        <f t="shared" si="82"/>
        <v>1</v>
      </c>
      <c r="K148" s="195">
        <f t="shared" si="88"/>
        <v>1</v>
      </c>
      <c r="L148" s="185">
        <v>0</v>
      </c>
      <c r="M148" s="186" t="e">
        <f t="shared" si="80"/>
        <v>#DIV/0!</v>
      </c>
      <c r="N148" s="194">
        <f t="shared" si="81"/>
        <v>2729.5</v>
      </c>
    </row>
    <row r="149" spans="1:14" ht="12.75" customHeight="1" x14ac:dyDescent="0.2">
      <c r="A149" s="12"/>
      <c r="B149" s="7" t="s">
        <v>26</v>
      </c>
      <c r="C149" s="131"/>
      <c r="D149" s="131"/>
      <c r="E149" s="5"/>
      <c r="F149" s="5"/>
      <c r="G149" s="5"/>
      <c r="H149" s="5"/>
      <c r="I149" s="151"/>
      <c r="J149" s="153"/>
      <c r="K149" s="195"/>
      <c r="L149" s="185"/>
      <c r="M149" s="186"/>
      <c r="N149" s="194"/>
    </row>
    <row r="150" spans="1:14" ht="27" x14ac:dyDescent="0.2">
      <c r="A150" s="12"/>
      <c r="B150" s="114" t="s">
        <v>246</v>
      </c>
      <c r="C150" s="131">
        <f t="shared" ref="C150:H150" si="91">SUM(C151:C155)</f>
        <v>13272.7</v>
      </c>
      <c r="D150" s="131">
        <f t="shared" si="91"/>
        <v>19395</v>
      </c>
      <c r="E150" s="131">
        <f t="shared" si="91"/>
        <v>7516.3</v>
      </c>
      <c r="F150" s="131">
        <f t="shared" ref="F150" si="92">SUM(F151:F155)</f>
        <v>9860.7000000000007</v>
      </c>
      <c r="G150" s="131">
        <f t="shared" si="91"/>
        <v>7516.3</v>
      </c>
      <c r="H150" s="131">
        <f t="shared" si="91"/>
        <v>9860.7000000000007</v>
      </c>
      <c r="I150" s="151">
        <f t="shared" ref="I150:I161" si="93">H150/$H$228</f>
        <v>1.4E-2</v>
      </c>
      <c r="J150" s="153">
        <f t="shared" si="82"/>
        <v>1.3120000000000001</v>
      </c>
      <c r="K150" s="195">
        <f t="shared" si="88"/>
        <v>1</v>
      </c>
      <c r="L150" s="185">
        <f t="shared" si="90"/>
        <v>-9534.2999999999993</v>
      </c>
      <c r="M150" s="186">
        <f t="shared" si="80"/>
        <v>0.50800000000000001</v>
      </c>
      <c r="N150" s="194">
        <f t="shared" si="81"/>
        <v>2344.4</v>
      </c>
    </row>
    <row r="151" spans="1:14" x14ac:dyDescent="0.2">
      <c r="A151" s="79"/>
      <c r="B151" s="220" t="s">
        <v>251</v>
      </c>
      <c r="C151" s="85">
        <v>9966.7000000000007</v>
      </c>
      <c r="D151" s="85">
        <v>9965.4</v>
      </c>
      <c r="E151" s="85"/>
      <c r="F151" s="85">
        <v>5520.8</v>
      </c>
      <c r="G151" s="85">
        <v>3012.6</v>
      </c>
      <c r="H151" s="85">
        <v>5520.8</v>
      </c>
      <c r="I151" s="145">
        <f t="shared" si="93"/>
        <v>8.0000000000000002E-3</v>
      </c>
      <c r="J151" s="186"/>
      <c r="K151" s="195">
        <f t="shared" si="88"/>
        <v>1</v>
      </c>
      <c r="L151" s="185">
        <f t="shared" si="90"/>
        <v>-4444.6000000000004</v>
      </c>
      <c r="M151" s="186">
        <f t="shared" si="80"/>
        <v>0.55400000000000005</v>
      </c>
      <c r="N151" s="194">
        <f t="shared" si="81"/>
        <v>2508.1999999999998</v>
      </c>
    </row>
    <row r="152" spans="1:14" x14ac:dyDescent="0.2">
      <c r="A152" s="73"/>
      <c r="B152" s="74" t="s">
        <v>249</v>
      </c>
      <c r="C152" s="85">
        <v>576</v>
      </c>
      <c r="D152" s="85">
        <v>1207.5999999999999</v>
      </c>
      <c r="E152" s="85">
        <v>3012.6</v>
      </c>
      <c r="F152" s="85">
        <v>345.2</v>
      </c>
      <c r="G152" s="85">
        <v>163.30000000000001</v>
      </c>
      <c r="H152" s="85">
        <v>345.2</v>
      </c>
      <c r="I152" s="145">
        <f t="shared" si="93"/>
        <v>0</v>
      </c>
      <c r="J152" s="186">
        <f>H152/E152</f>
        <v>0.115</v>
      </c>
      <c r="K152" s="195">
        <f t="shared" si="88"/>
        <v>1</v>
      </c>
      <c r="L152" s="185">
        <f t="shared" ref="L152:L161" si="94">H152-D152</f>
        <v>-862.4</v>
      </c>
      <c r="M152" s="186">
        <f>H152/D152</f>
        <v>0.28599999999999998</v>
      </c>
      <c r="N152" s="194">
        <f>H152-G152</f>
        <v>181.9</v>
      </c>
    </row>
    <row r="153" spans="1:14" ht="13.5" hidden="1" customHeight="1" x14ac:dyDescent="0.2">
      <c r="A153" s="73"/>
      <c r="B153" s="74" t="s">
        <v>153</v>
      </c>
      <c r="C153" s="85">
        <v>0</v>
      </c>
      <c r="D153" s="85">
        <v>0</v>
      </c>
      <c r="E153" s="85">
        <v>163.30000000000001</v>
      </c>
      <c r="F153" s="85">
        <v>0</v>
      </c>
      <c r="G153" s="85">
        <v>0</v>
      </c>
      <c r="H153" s="85">
        <v>0</v>
      </c>
      <c r="I153" s="145">
        <f t="shared" si="93"/>
        <v>0</v>
      </c>
      <c r="J153" s="186">
        <f t="shared" ref="J153:J156" si="95">H153/E153</f>
        <v>0</v>
      </c>
      <c r="K153" s="195" t="e">
        <f t="shared" si="88"/>
        <v>#DIV/0!</v>
      </c>
      <c r="L153" s="185">
        <f t="shared" si="94"/>
        <v>0</v>
      </c>
      <c r="M153" s="186" t="e">
        <f t="shared" ref="M153:M158" si="96">H153/D153</f>
        <v>#DIV/0!</v>
      </c>
      <c r="N153" s="194">
        <f t="shared" ref="N153:N158" si="97">H153-G153</f>
        <v>0</v>
      </c>
    </row>
    <row r="154" spans="1:14" ht="13.5" hidden="1" customHeight="1" x14ac:dyDescent="0.2">
      <c r="A154" s="73"/>
      <c r="B154" s="74" t="s">
        <v>153</v>
      </c>
      <c r="C154" s="85">
        <v>0</v>
      </c>
      <c r="D154" s="85">
        <v>0</v>
      </c>
      <c r="E154" s="85">
        <v>0</v>
      </c>
      <c r="F154" s="85">
        <v>0</v>
      </c>
      <c r="G154" s="85">
        <v>0</v>
      </c>
      <c r="H154" s="85">
        <v>0</v>
      </c>
      <c r="I154" s="145">
        <f t="shared" si="93"/>
        <v>0</v>
      </c>
      <c r="J154" s="186">
        <v>0</v>
      </c>
      <c r="K154" s="195" t="e">
        <f t="shared" si="88"/>
        <v>#DIV/0!</v>
      </c>
      <c r="L154" s="185">
        <f t="shared" si="94"/>
        <v>0</v>
      </c>
      <c r="M154" s="186">
        <v>0</v>
      </c>
      <c r="N154" s="194">
        <f t="shared" si="97"/>
        <v>0</v>
      </c>
    </row>
    <row r="155" spans="1:14" x14ac:dyDescent="0.2">
      <c r="A155" s="73"/>
      <c r="B155" s="74" t="s">
        <v>154</v>
      </c>
      <c r="C155" s="85">
        <v>2730</v>
      </c>
      <c r="D155" s="85">
        <v>8222</v>
      </c>
      <c r="E155" s="85">
        <v>4340.3999999999996</v>
      </c>
      <c r="F155" s="85">
        <v>3994.7</v>
      </c>
      <c r="G155" s="85">
        <v>4340.3999999999996</v>
      </c>
      <c r="H155" s="85">
        <v>3994.7</v>
      </c>
      <c r="I155" s="145">
        <f t="shared" si="93"/>
        <v>6.0000000000000001E-3</v>
      </c>
      <c r="J155" s="186">
        <f t="shared" si="95"/>
        <v>0.92</v>
      </c>
      <c r="K155" s="195">
        <f t="shared" si="88"/>
        <v>1</v>
      </c>
      <c r="L155" s="185">
        <f t="shared" si="94"/>
        <v>-4227.3</v>
      </c>
      <c r="M155" s="186">
        <f t="shared" si="96"/>
        <v>0.48599999999999999</v>
      </c>
      <c r="N155" s="194">
        <f t="shared" si="97"/>
        <v>-345.7</v>
      </c>
    </row>
    <row r="156" spans="1:14" ht="27" x14ac:dyDescent="0.2">
      <c r="A156" s="12" t="s">
        <v>244</v>
      </c>
      <c r="B156" s="7" t="s">
        <v>243</v>
      </c>
      <c r="C156" s="131">
        <v>0</v>
      </c>
      <c r="D156" s="131">
        <v>68</v>
      </c>
      <c r="E156" s="5">
        <v>800</v>
      </c>
      <c r="F156" s="5">
        <v>67.8</v>
      </c>
      <c r="G156" s="5">
        <v>800</v>
      </c>
      <c r="H156" s="5">
        <v>67.8</v>
      </c>
      <c r="I156" s="151">
        <f t="shared" si="93"/>
        <v>0</v>
      </c>
      <c r="J156" s="186">
        <f t="shared" si="95"/>
        <v>8.5000000000000006E-2</v>
      </c>
      <c r="K156" s="195">
        <f t="shared" si="88"/>
        <v>1</v>
      </c>
      <c r="L156" s="185">
        <f t="shared" si="94"/>
        <v>-0.2</v>
      </c>
      <c r="M156" s="186">
        <f t="shared" si="96"/>
        <v>0.997</v>
      </c>
      <c r="N156" s="194">
        <f t="shared" si="97"/>
        <v>-732.2</v>
      </c>
    </row>
    <row r="157" spans="1:14" ht="54" hidden="1" customHeight="1" x14ac:dyDescent="0.2">
      <c r="A157" s="12" t="s">
        <v>241</v>
      </c>
      <c r="B157" s="7" t="s">
        <v>242</v>
      </c>
      <c r="C157" s="131">
        <v>0</v>
      </c>
      <c r="D157" s="131">
        <v>0</v>
      </c>
      <c r="E157" s="5">
        <v>0</v>
      </c>
      <c r="F157" s="5">
        <v>0</v>
      </c>
      <c r="G157" s="5">
        <v>0</v>
      </c>
      <c r="H157" s="5">
        <v>0</v>
      </c>
      <c r="I157" s="151">
        <f t="shared" si="93"/>
        <v>0</v>
      </c>
      <c r="J157" s="186">
        <v>0</v>
      </c>
      <c r="K157" s="195" t="e">
        <f t="shared" si="88"/>
        <v>#DIV/0!</v>
      </c>
      <c r="L157" s="185">
        <f t="shared" si="94"/>
        <v>0</v>
      </c>
      <c r="M157" s="186" t="e">
        <f t="shared" si="96"/>
        <v>#DIV/0!</v>
      </c>
      <c r="N157" s="194">
        <f t="shared" si="97"/>
        <v>0</v>
      </c>
    </row>
    <row r="158" spans="1:14" ht="13.5" hidden="1" customHeight="1" x14ac:dyDescent="0.2">
      <c r="A158" s="12"/>
      <c r="B158" s="7" t="s">
        <v>178</v>
      </c>
      <c r="C158" s="131">
        <v>0</v>
      </c>
      <c r="D158" s="131">
        <v>0</v>
      </c>
      <c r="E158" s="5"/>
      <c r="F158" s="5">
        <v>0</v>
      </c>
      <c r="G158" s="5">
        <v>0</v>
      </c>
      <c r="H158" s="5">
        <v>0</v>
      </c>
      <c r="I158" s="151">
        <f t="shared" si="93"/>
        <v>0</v>
      </c>
      <c r="J158" s="186"/>
      <c r="K158" s="195" t="e">
        <f t="shared" si="88"/>
        <v>#DIV/0!</v>
      </c>
      <c r="L158" s="185">
        <f t="shared" si="94"/>
        <v>0</v>
      </c>
      <c r="M158" s="186" t="e">
        <f t="shared" si="96"/>
        <v>#DIV/0!</v>
      </c>
      <c r="N158" s="194">
        <f t="shared" si="97"/>
        <v>0</v>
      </c>
    </row>
    <row r="159" spans="1:14" s="1" customFormat="1" ht="27" x14ac:dyDescent="0.2">
      <c r="A159" s="12" t="s">
        <v>55</v>
      </c>
      <c r="B159" s="7" t="s">
        <v>56</v>
      </c>
      <c r="C159" s="131">
        <f>C160</f>
        <v>1638.1</v>
      </c>
      <c r="D159" s="131">
        <v>3231.1</v>
      </c>
      <c r="E159" s="131">
        <f t="shared" ref="E159" si="98">E160</f>
        <v>757.8</v>
      </c>
      <c r="F159" s="131">
        <v>680.7</v>
      </c>
      <c r="G159" s="131">
        <f t="shared" ref="G159" si="99">G160</f>
        <v>757.8</v>
      </c>
      <c r="H159" s="131">
        <v>680.7</v>
      </c>
      <c r="I159" s="144">
        <f t="shared" si="93"/>
        <v>1E-3</v>
      </c>
      <c r="J159" s="153">
        <f>H159/E159</f>
        <v>0.89800000000000002</v>
      </c>
      <c r="K159" s="195">
        <f t="shared" si="88"/>
        <v>1</v>
      </c>
      <c r="L159" s="185">
        <f t="shared" si="94"/>
        <v>-2550.4</v>
      </c>
      <c r="M159" s="186">
        <f>H159/D159</f>
        <v>0.21099999999999999</v>
      </c>
      <c r="N159" s="194">
        <f>H159-G159</f>
        <v>-77.099999999999994</v>
      </c>
    </row>
    <row r="160" spans="1:14" s="1" customFormat="1" ht="17.25" customHeight="1" x14ac:dyDescent="0.2">
      <c r="A160" s="12"/>
      <c r="B160" s="7" t="s">
        <v>160</v>
      </c>
      <c r="C160" s="131">
        <v>1638.1</v>
      </c>
      <c r="D160" s="131">
        <v>1638.1</v>
      </c>
      <c r="E160" s="5">
        <v>757.8</v>
      </c>
      <c r="F160" s="5">
        <v>587.70000000000005</v>
      </c>
      <c r="G160" s="5">
        <v>757.8</v>
      </c>
      <c r="H160" s="5">
        <v>587.70000000000005</v>
      </c>
      <c r="I160" s="144">
        <f t="shared" si="93"/>
        <v>1E-3</v>
      </c>
      <c r="J160" s="153">
        <f>H160/E160</f>
        <v>0.77600000000000002</v>
      </c>
      <c r="K160" s="195">
        <f t="shared" si="88"/>
        <v>1</v>
      </c>
      <c r="L160" s="185">
        <f t="shared" si="94"/>
        <v>-1050.4000000000001</v>
      </c>
      <c r="M160" s="186">
        <f t="shared" ref="M160:M165" si="100">H160/D160</f>
        <v>0.35899999999999999</v>
      </c>
      <c r="N160" s="194">
        <f>H160-G160</f>
        <v>-170.1</v>
      </c>
    </row>
    <row r="161" spans="1:14" s="1" customFormat="1" ht="13.5" hidden="1" customHeight="1" x14ac:dyDescent="0.2">
      <c r="A161" s="12"/>
      <c r="B161" s="7" t="s">
        <v>161</v>
      </c>
      <c r="C161" s="76">
        <v>0</v>
      </c>
      <c r="D161" s="131">
        <v>0</v>
      </c>
      <c r="E161" s="5">
        <v>0</v>
      </c>
      <c r="F161" s="5">
        <v>0</v>
      </c>
      <c r="G161" s="5">
        <v>0</v>
      </c>
      <c r="H161" s="5">
        <v>0</v>
      </c>
      <c r="I161" s="144">
        <f t="shared" si="93"/>
        <v>0</v>
      </c>
      <c r="J161" s="153" t="e">
        <f>H161/E161</f>
        <v>#DIV/0!</v>
      </c>
      <c r="K161" s="195" t="e">
        <f t="shared" si="88"/>
        <v>#DIV/0!</v>
      </c>
      <c r="L161" s="185">
        <f t="shared" si="94"/>
        <v>0</v>
      </c>
      <c r="M161" s="186" t="e">
        <f t="shared" si="100"/>
        <v>#DIV/0!</v>
      </c>
      <c r="N161" s="194" t="e">
        <f>H161-#REF!</f>
        <v>#REF!</v>
      </c>
    </row>
    <row r="162" spans="1:14" x14ac:dyDescent="0.2">
      <c r="A162" s="12"/>
      <c r="B162" s="6" t="s">
        <v>121</v>
      </c>
      <c r="C162" s="6"/>
      <c r="D162" s="5"/>
      <c r="E162" s="5"/>
      <c r="F162" s="5"/>
      <c r="G162" s="5"/>
      <c r="H162" s="5"/>
      <c r="I162" s="151"/>
      <c r="J162" s="153"/>
      <c r="K162" s="195"/>
      <c r="L162" s="185"/>
      <c r="M162" s="186"/>
      <c r="N162" s="194"/>
    </row>
    <row r="163" spans="1:14" x14ac:dyDescent="0.2">
      <c r="A163" s="12"/>
      <c r="B163" s="7" t="s">
        <v>95</v>
      </c>
      <c r="C163" s="5">
        <v>9966.7000000000007</v>
      </c>
      <c r="D163" s="5">
        <v>9665.4</v>
      </c>
      <c r="E163" s="5">
        <v>3133.2</v>
      </c>
      <c r="F163" s="5">
        <v>5520.8</v>
      </c>
      <c r="G163" s="5">
        <v>3133.2</v>
      </c>
      <c r="H163" s="5">
        <v>5520.8</v>
      </c>
      <c r="I163" s="151">
        <f t="shared" ref="I163:I169" si="101">H163/$H$228</f>
        <v>8.0000000000000002E-3</v>
      </c>
      <c r="J163" s="153">
        <f t="shared" ref="J163:J169" si="102">H163/E163</f>
        <v>1.762</v>
      </c>
      <c r="K163" s="195">
        <f t="shared" si="88"/>
        <v>1</v>
      </c>
      <c r="L163" s="185">
        <f t="shared" ref="L163:L169" si="103">H163-D163</f>
        <v>-4144.6000000000004</v>
      </c>
      <c r="M163" s="186">
        <f t="shared" si="100"/>
        <v>0.57099999999999995</v>
      </c>
      <c r="N163" s="194">
        <f>H163-G163</f>
        <v>2387.6</v>
      </c>
    </row>
    <row r="164" spans="1:14" s="100" customFormat="1" ht="13.5" hidden="1" customHeight="1" x14ac:dyDescent="0.2">
      <c r="A164" s="214"/>
      <c r="B164" s="215" t="s">
        <v>129</v>
      </c>
      <c r="C164" s="148"/>
      <c r="D164" s="148"/>
      <c r="E164" s="148">
        <v>0</v>
      </c>
      <c r="F164" s="148">
        <v>0</v>
      </c>
      <c r="G164" s="148">
        <v>0</v>
      </c>
      <c r="H164" s="148">
        <v>0</v>
      </c>
      <c r="I164" s="216">
        <f t="shared" si="101"/>
        <v>0</v>
      </c>
      <c r="J164" s="153" t="e">
        <f t="shared" si="102"/>
        <v>#DIV/0!</v>
      </c>
      <c r="K164" s="195" t="e">
        <f t="shared" si="88"/>
        <v>#DIV/0!</v>
      </c>
      <c r="L164" s="197">
        <f t="shared" si="103"/>
        <v>0</v>
      </c>
      <c r="M164" s="186" t="e">
        <f t="shared" si="100"/>
        <v>#DIV/0!</v>
      </c>
      <c r="N164" s="194">
        <f t="shared" ref="N164:N165" si="104">H164-G164</f>
        <v>0</v>
      </c>
    </row>
    <row r="165" spans="1:14" x14ac:dyDescent="0.2">
      <c r="A165" s="12"/>
      <c r="B165" s="15" t="s">
        <v>137</v>
      </c>
      <c r="C165" s="131">
        <v>225388.2</v>
      </c>
      <c r="D165" s="131">
        <v>237997</v>
      </c>
      <c r="E165" s="131">
        <v>150235.79999999999</v>
      </c>
      <c r="F165" s="131">
        <v>101662.1</v>
      </c>
      <c r="G165" s="131">
        <v>150235.79999999999</v>
      </c>
      <c r="H165" s="131">
        <v>101662.1</v>
      </c>
      <c r="I165" s="151">
        <f t="shared" si="101"/>
        <v>0.14599999999999999</v>
      </c>
      <c r="J165" s="153">
        <f t="shared" si="102"/>
        <v>0.67700000000000005</v>
      </c>
      <c r="K165" s="195">
        <f t="shared" si="88"/>
        <v>1</v>
      </c>
      <c r="L165" s="185">
        <f t="shared" si="103"/>
        <v>-136334.9</v>
      </c>
      <c r="M165" s="186">
        <f t="shared" si="100"/>
        <v>0.42699999999999999</v>
      </c>
      <c r="N165" s="194">
        <f t="shared" si="104"/>
        <v>-48573.7</v>
      </c>
    </row>
    <row r="166" spans="1:14" s="21" customFormat="1" x14ac:dyDescent="0.2">
      <c r="A166" s="62" t="s">
        <v>107</v>
      </c>
      <c r="B166" s="68" t="s">
        <v>106</v>
      </c>
      <c r="C166" s="63">
        <f>C167+C182</f>
        <v>15559</v>
      </c>
      <c r="D166" s="63">
        <f>D167+D182</f>
        <v>14805.1</v>
      </c>
      <c r="E166" s="63">
        <f t="shared" ref="E166:F166" si="105">E167+E182</f>
        <v>9131.2999999999993</v>
      </c>
      <c r="F166" s="63">
        <f t="shared" si="105"/>
        <v>9902.2000000000007</v>
      </c>
      <c r="G166" s="63">
        <f t="shared" ref="G166:H166" si="106">G167+G182</f>
        <v>10331.200000000001</v>
      </c>
      <c r="H166" s="63">
        <f t="shared" si="106"/>
        <v>9902.2000000000007</v>
      </c>
      <c r="I166" s="64">
        <f t="shared" si="101"/>
        <v>1.4E-2</v>
      </c>
      <c r="J166" s="153">
        <f t="shared" si="102"/>
        <v>1.0840000000000001</v>
      </c>
      <c r="K166" s="153">
        <f>H166/F166</f>
        <v>1</v>
      </c>
      <c r="L166" s="154">
        <f>H166-D166</f>
        <v>-4902.8999999999996</v>
      </c>
      <c r="M166" s="153">
        <f t="shared" ref="M166:M169" si="107">H166/D166</f>
        <v>0.66900000000000004</v>
      </c>
      <c r="N166" s="155">
        <f>H166-G166</f>
        <v>-429</v>
      </c>
    </row>
    <row r="167" spans="1:14" s="30" customFormat="1" x14ac:dyDescent="0.2">
      <c r="A167" s="77" t="s">
        <v>43</v>
      </c>
      <c r="B167" s="78" t="s">
        <v>51</v>
      </c>
      <c r="C167" s="147">
        <f>C168+C169</f>
        <v>14844.7</v>
      </c>
      <c r="D167" s="147">
        <f t="shared" ref="D167:H167" si="108">D168+D169</f>
        <v>14090.8</v>
      </c>
      <c r="E167" s="147">
        <f t="shared" si="108"/>
        <v>9131.2999999999993</v>
      </c>
      <c r="F167" s="147">
        <f t="shared" ref="F167" si="109">F168+F169</f>
        <v>9430.2999999999993</v>
      </c>
      <c r="G167" s="147">
        <f t="shared" si="108"/>
        <v>10331.200000000001</v>
      </c>
      <c r="H167" s="147">
        <f t="shared" si="108"/>
        <v>9430.2999999999993</v>
      </c>
      <c r="I167" s="71">
        <f t="shared" si="101"/>
        <v>1.4E-2</v>
      </c>
      <c r="J167" s="153">
        <f t="shared" si="102"/>
        <v>1.0329999999999999</v>
      </c>
      <c r="K167" s="195">
        <f t="shared" ref="K167:K228" si="110">H167/F167</f>
        <v>1</v>
      </c>
      <c r="L167" s="185">
        <f t="shared" si="103"/>
        <v>-4660.5</v>
      </c>
      <c r="M167" s="186">
        <f t="shared" si="107"/>
        <v>0.66900000000000004</v>
      </c>
      <c r="N167" s="194">
        <f>H167-G167</f>
        <v>-900.9</v>
      </c>
    </row>
    <row r="168" spans="1:14" ht="40.5" x14ac:dyDescent="0.2">
      <c r="A168" s="13">
        <v>611</v>
      </c>
      <c r="B168" s="7" t="s">
        <v>93</v>
      </c>
      <c r="C168" s="5">
        <v>12852.3</v>
      </c>
      <c r="D168" s="5">
        <v>11473.4</v>
      </c>
      <c r="E168" s="5">
        <v>7072.1</v>
      </c>
      <c r="F168" s="5">
        <v>8453.5</v>
      </c>
      <c r="G168" s="5">
        <v>7072.1</v>
      </c>
      <c r="H168" s="5">
        <f>F168</f>
        <v>8453.5</v>
      </c>
      <c r="I168" s="151">
        <f t="shared" si="101"/>
        <v>1.2E-2</v>
      </c>
      <c r="J168" s="153">
        <f t="shared" si="102"/>
        <v>1.1950000000000001</v>
      </c>
      <c r="K168" s="195">
        <f t="shared" si="110"/>
        <v>1</v>
      </c>
      <c r="L168" s="185">
        <f t="shared" si="103"/>
        <v>-3019.9</v>
      </c>
      <c r="M168" s="186">
        <f t="shared" si="107"/>
        <v>0.73699999999999999</v>
      </c>
      <c r="N168" s="194">
        <f>H168-G168</f>
        <v>1381.4</v>
      </c>
    </row>
    <row r="169" spans="1:14" x14ac:dyDescent="0.2">
      <c r="A169" s="13">
        <v>612</v>
      </c>
      <c r="B169" s="7" t="s">
        <v>181</v>
      </c>
      <c r="C169" s="5">
        <v>1992.4</v>
      </c>
      <c r="D169" s="5">
        <v>2617.4</v>
      </c>
      <c r="E169" s="5">
        <f>3259.1-1199.9</f>
        <v>2059.1999999999998</v>
      </c>
      <c r="F169" s="5">
        <f>976.9-0.1</f>
        <v>976.8</v>
      </c>
      <c r="G169" s="5">
        <v>3259.1</v>
      </c>
      <c r="H169" s="5">
        <f t="shared" ref="H169" si="111">F169</f>
        <v>976.8</v>
      </c>
      <c r="I169" s="151">
        <f t="shared" si="101"/>
        <v>1E-3</v>
      </c>
      <c r="J169" s="186">
        <f t="shared" si="102"/>
        <v>0.47399999999999998</v>
      </c>
      <c r="K169" s="195">
        <f t="shared" si="110"/>
        <v>1</v>
      </c>
      <c r="L169" s="185">
        <f t="shared" si="103"/>
        <v>-1640.6</v>
      </c>
      <c r="M169" s="186">
        <f t="shared" si="107"/>
        <v>0.373</v>
      </c>
      <c r="N169" s="194">
        <f>H169-G169</f>
        <v>-2282.3000000000002</v>
      </c>
    </row>
    <row r="170" spans="1:14" x14ac:dyDescent="0.2">
      <c r="A170" s="79"/>
      <c r="B170" s="80" t="s">
        <v>170</v>
      </c>
      <c r="C170" s="80"/>
      <c r="D170" s="81"/>
      <c r="E170" s="81"/>
      <c r="F170" s="81"/>
      <c r="G170" s="81"/>
      <c r="H170" s="81"/>
      <c r="I170" s="145"/>
      <c r="J170" s="186"/>
      <c r="K170" s="195"/>
      <c r="L170" s="185"/>
      <c r="M170" s="186"/>
      <c r="N170" s="194"/>
    </row>
    <row r="171" spans="1:14" ht="27" x14ac:dyDescent="0.2">
      <c r="A171" s="73" t="s">
        <v>255</v>
      </c>
      <c r="B171" s="74" t="s">
        <v>281</v>
      </c>
      <c r="C171" s="81">
        <v>12336.2</v>
      </c>
      <c r="D171" s="81">
        <v>11336.4</v>
      </c>
      <c r="E171" s="81">
        <v>8514.6</v>
      </c>
      <c r="F171" s="81">
        <v>8741.2000000000007</v>
      </c>
      <c r="G171" s="81">
        <v>8514.6</v>
      </c>
      <c r="H171" s="81">
        <f>F171</f>
        <v>8741.2000000000007</v>
      </c>
      <c r="I171" s="145">
        <f t="shared" ref="I171:I177" si="112">H171/$H$228</f>
        <v>1.2999999999999999E-2</v>
      </c>
      <c r="J171" s="186">
        <f>H171/E171</f>
        <v>1.0269999999999999</v>
      </c>
      <c r="K171" s="195">
        <f t="shared" si="110"/>
        <v>1</v>
      </c>
      <c r="L171" s="185">
        <f t="shared" ref="L171:L177" si="113">H171-D171</f>
        <v>-2595.1999999999998</v>
      </c>
      <c r="M171" s="186">
        <f t="shared" ref="M171:M177" si="114">H171/D171</f>
        <v>0.77100000000000002</v>
      </c>
      <c r="N171" s="194">
        <f>H171-G171</f>
        <v>226.6</v>
      </c>
    </row>
    <row r="172" spans="1:14" ht="27" x14ac:dyDescent="0.2">
      <c r="A172" s="73" t="s">
        <v>255</v>
      </c>
      <c r="B172" s="74" t="s">
        <v>282</v>
      </c>
      <c r="C172" s="81">
        <v>1400</v>
      </c>
      <c r="D172" s="81">
        <v>1400</v>
      </c>
      <c r="E172" s="81"/>
      <c r="F172" s="81">
        <v>0</v>
      </c>
      <c r="G172" s="81">
        <v>1199.9000000000001</v>
      </c>
      <c r="H172" s="81">
        <f t="shared" ref="H172:H175" si="115">F172</f>
        <v>0</v>
      </c>
      <c r="I172" s="145">
        <f t="shared" si="112"/>
        <v>0</v>
      </c>
      <c r="J172" s="186"/>
      <c r="K172" s="195">
        <v>0</v>
      </c>
      <c r="L172" s="185">
        <f t="shared" si="113"/>
        <v>-1400</v>
      </c>
      <c r="M172" s="186">
        <f t="shared" si="114"/>
        <v>0</v>
      </c>
      <c r="N172" s="194">
        <f>H172-G172</f>
        <v>-1199.9000000000001</v>
      </c>
    </row>
    <row r="173" spans="1:14" x14ac:dyDescent="0.2">
      <c r="A173" s="73" t="s">
        <v>256</v>
      </c>
      <c r="B173" s="74" t="s">
        <v>155</v>
      </c>
      <c r="C173" s="81">
        <v>50.4</v>
      </c>
      <c r="D173" s="81">
        <v>50.4</v>
      </c>
      <c r="E173" s="81">
        <v>39.1</v>
      </c>
      <c r="F173" s="81">
        <v>36.5</v>
      </c>
      <c r="G173" s="81">
        <v>39.1</v>
      </c>
      <c r="H173" s="81">
        <f t="shared" si="115"/>
        <v>36.5</v>
      </c>
      <c r="I173" s="145">
        <f t="shared" si="112"/>
        <v>0</v>
      </c>
      <c r="J173" s="186">
        <f>H173/E173</f>
        <v>0.93400000000000005</v>
      </c>
      <c r="K173" s="195">
        <f t="shared" si="110"/>
        <v>1</v>
      </c>
      <c r="L173" s="185">
        <f t="shared" si="113"/>
        <v>-13.9</v>
      </c>
      <c r="M173" s="186">
        <f t="shared" si="114"/>
        <v>0.72399999999999998</v>
      </c>
      <c r="N173" s="194">
        <f t="shared" ref="N173:N176" si="116">H173-G173</f>
        <v>-2.6</v>
      </c>
    </row>
    <row r="174" spans="1:14" x14ac:dyDescent="0.2">
      <c r="A174" s="73" t="s">
        <v>257</v>
      </c>
      <c r="B174" s="74" t="s">
        <v>98</v>
      </c>
      <c r="C174" s="81">
        <v>782.7</v>
      </c>
      <c r="D174" s="81">
        <v>982.7</v>
      </c>
      <c r="E174" s="81">
        <v>477.9</v>
      </c>
      <c r="F174" s="81">
        <v>547.5</v>
      </c>
      <c r="G174" s="81">
        <v>477.9</v>
      </c>
      <c r="H174" s="81">
        <f t="shared" si="115"/>
        <v>547.5</v>
      </c>
      <c r="I174" s="145">
        <f t="shared" si="112"/>
        <v>1E-3</v>
      </c>
      <c r="J174" s="186">
        <f>H174/E174</f>
        <v>1.1459999999999999</v>
      </c>
      <c r="K174" s="195">
        <f t="shared" si="110"/>
        <v>1</v>
      </c>
      <c r="L174" s="185">
        <f t="shared" si="113"/>
        <v>-435.2</v>
      </c>
      <c r="M174" s="186">
        <f t="shared" si="114"/>
        <v>0.55700000000000005</v>
      </c>
      <c r="N174" s="194">
        <f t="shared" si="116"/>
        <v>69.599999999999994</v>
      </c>
    </row>
    <row r="175" spans="1:14" x14ac:dyDescent="0.2">
      <c r="A175" s="73" t="s">
        <v>258</v>
      </c>
      <c r="B175" s="74" t="s">
        <v>153</v>
      </c>
      <c r="C175" s="81">
        <v>131.80000000000001</v>
      </c>
      <c r="D175" s="81">
        <v>130.19999999999999</v>
      </c>
      <c r="E175" s="81">
        <v>16.8</v>
      </c>
      <c r="F175" s="81">
        <v>30.6</v>
      </c>
      <c r="G175" s="81">
        <v>16.8</v>
      </c>
      <c r="H175" s="81">
        <f t="shared" si="115"/>
        <v>30.6</v>
      </c>
      <c r="I175" s="145">
        <f t="shared" si="112"/>
        <v>0</v>
      </c>
      <c r="J175" s="186">
        <v>0</v>
      </c>
      <c r="K175" s="195">
        <f t="shared" si="110"/>
        <v>1</v>
      </c>
      <c r="L175" s="185">
        <f t="shared" si="113"/>
        <v>-99.6</v>
      </c>
      <c r="M175" s="186">
        <f t="shared" si="114"/>
        <v>0.23499999999999999</v>
      </c>
      <c r="N175" s="194">
        <f t="shared" si="116"/>
        <v>13.8</v>
      </c>
    </row>
    <row r="176" spans="1:14" x14ac:dyDescent="0.2">
      <c r="A176" s="73"/>
      <c r="B176" s="74" t="s">
        <v>318</v>
      </c>
      <c r="C176" s="81">
        <v>143.6</v>
      </c>
      <c r="D176" s="81">
        <v>191.1</v>
      </c>
      <c r="E176" s="81">
        <v>82.9</v>
      </c>
      <c r="F176" s="81">
        <v>74.5</v>
      </c>
      <c r="G176" s="81">
        <f>82.8+0.1</f>
        <v>82.9</v>
      </c>
      <c r="H176" s="81">
        <f>F176</f>
        <v>74.5</v>
      </c>
      <c r="I176" s="145">
        <f t="shared" si="112"/>
        <v>0</v>
      </c>
      <c r="J176" s="186">
        <f t="shared" ref="J176:J188" si="117">H176/E176</f>
        <v>0.89900000000000002</v>
      </c>
      <c r="K176" s="195">
        <f t="shared" si="110"/>
        <v>1</v>
      </c>
      <c r="L176" s="185">
        <f t="shared" si="113"/>
        <v>-116.6</v>
      </c>
      <c r="M176" s="186">
        <f t="shared" si="114"/>
        <v>0.39</v>
      </c>
      <c r="N176" s="194">
        <f t="shared" si="116"/>
        <v>-8.4</v>
      </c>
    </row>
    <row r="177" spans="1:14" ht="13.5" hidden="1" customHeight="1" x14ac:dyDescent="0.2">
      <c r="A177" s="13">
        <v>612</v>
      </c>
      <c r="B177" s="7" t="s">
        <v>94</v>
      </c>
      <c r="C177" s="75"/>
      <c r="D177" s="90"/>
      <c r="E177" s="90"/>
      <c r="F177" s="90"/>
      <c r="G177" s="90"/>
      <c r="H177" s="90"/>
      <c r="I177" s="144">
        <f t="shared" si="112"/>
        <v>0</v>
      </c>
      <c r="J177" s="153" t="e">
        <f t="shared" si="117"/>
        <v>#DIV/0!</v>
      </c>
      <c r="K177" s="195" t="e">
        <f t="shared" si="110"/>
        <v>#DIV/0!</v>
      </c>
      <c r="L177" s="185">
        <f t="shared" si="113"/>
        <v>0</v>
      </c>
      <c r="M177" s="186" t="e">
        <f t="shared" si="114"/>
        <v>#DIV/0!</v>
      </c>
      <c r="N177" s="194" t="e">
        <f>H177-#REF!</f>
        <v>#REF!</v>
      </c>
    </row>
    <row r="178" spans="1:14" ht="13.5" hidden="1" customHeight="1" x14ac:dyDescent="0.2">
      <c r="A178" s="115"/>
      <c r="B178" s="116" t="s">
        <v>26</v>
      </c>
      <c r="C178" s="76"/>
      <c r="D178" s="141"/>
      <c r="E178" s="141"/>
      <c r="F178" s="141"/>
      <c r="G178" s="141"/>
      <c r="H178" s="141"/>
      <c r="I178" s="144"/>
      <c r="J178" s="153" t="e">
        <f t="shared" si="117"/>
        <v>#DIV/0!</v>
      </c>
      <c r="K178" s="195" t="e">
        <f t="shared" si="110"/>
        <v>#DIV/0!</v>
      </c>
      <c r="L178" s="185"/>
      <c r="M178" s="186"/>
      <c r="N178" s="194"/>
    </row>
    <row r="179" spans="1:14" ht="27" hidden="1" customHeight="1" x14ac:dyDescent="0.2">
      <c r="A179" s="115"/>
      <c r="B179" s="116" t="s">
        <v>157</v>
      </c>
      <c r="C179" s="76"/>
      <c r="D179" s="141"/>
      <c r="E179" s="141"/>
      <c r="F179" s="141"/>
      <c r="G179" s="141"/>
      <c r="H179" s="141"/>
      <c r="I179" s="144">
        <f t="shared" ref="I179:I188" si="118">H179/$H$228</f>
        <v>0</v>
      </c>
      <c r="J179" s="153" t="e">
        <f t="shared" si="117"/>
        <v>#DIV/0!</v>
      </c>
      <c r="K179" s="195" t="e">
        <f t="shared" si="110"/>
        <v>#DIV/0!</v>
      </c>
      <c r="L179" s="185">
        <f t="shared" ref="L179:L186" si="119">H179-D179</f>
        <v>0</v>
      </c>
      <c r="M179" s="186" t="e">
        <f t="shared" ref="M179:M186" si="120">H179/D179</f>
        <v>#DIV/0!</v>
      </c>
      <c r="N179" s="194" t="e">
        <f>H179-#REF!</f>
        <v>#REF!</v>
      </c>
    </row>
    <row r="180" spans="1:14" x14ac:dyDescent="0.2">
      <c r="A180" s="12"/>
      <c r="B180" s="224" t="s">
        <v>283</v>
      </c>
      <c r="C180" s="131">
        <v>0</v>
      </c>
      <c r="D180" s="141">
        <v>0</v>
      </c>
      <c r="E180" s="141">
        <v>1199.9000000000001</v>
      </c>
      <c r="F180" s="230">
        <v>0</v>
      </c>
      <c r="G180" s="141">
        <v>0</v>
      </c>
      <c r="H180" s="230">
        <v>0</v>
      </c>
      <c r="I180" s="144">
        <f t="shared" si="118"/>
        <v>0</v>
      </c>
      <c r="J180" s="186">
        <f t="shared" si="117"/>
        <v>0</v>
      </c>
      <c r="K180" s="195">
        <v>0</v>
      </c>
      <c r="L180" s="185">
        <f t="shared" si="119"/>
        <v>0</v>
      </c>
      <c r="M180" s="186">
        <v>0</v>
      </c>
      <c r="N180" s="194">
        <f>H180-G180</f>
        <v>0</v>
      </c>
    </row>
    <row r="181" spans="1:14" x14ac:dyDescent="0.2">
      <c r="A181" s="12"/>
      <c r="B181" s="224" t="s">
        <v>284</v>
      </c>
      <c r="C181" s="131">
        <v>36</v>
      </c>
      <c r="D181" s="141">
        <v>36</v>
      </c>
      <c r="E181" s="141"/>
      <c r="F181" s="230">
        <v>7.5</v>
      </c>
      <c r="G181" s="141">
        <v>0</v>
      </c>
      <c r="H181" s="230">
        <v>0</v>
      </c>
      <c r="I181" s="144">
        <f t="shared" si="118"/>
        <v>0</v>
      </c>
      <c r="J181" s="186"/>
      <c r="K181" s="195">
        <v>0</v>
      </c>
      <c r="L181" s="185">
        <f t="shared" si="119"/>
        <v>-36</v>
      </c>
      <c r="M181" s="186">
        <f t="shared" si="120"/>
        <v>0</v>
      </c>
      <c r="N181" s="194">
        <f>H181-G181</f>
        <v>0</v>
      </c>
    </row>
    <row r="182" spans="1:14" s="21" customFormat="1" x14ac:dyDescent="0.2">
      <c r="A182" s="62" t="s">
        <v>252</v>
      </c>
      <c r="B182" s="68" t="s">
        <v>253</v>
      </c>
      <c r="C182" s="63">
        <f>C183</f>
        <v>714.3</v>
      </c>
      <c r="D182" s="63">
        <f>D183</f>
        <v>714.3</v>
      </c>
      <c r="E182" s="63">
        <f t="shared" ref="E182" si="121">E183</f>
        <v>0</v>
      </c>
      <c r="F182" s="63">
        <f t="shared" ref="F182:H182" si="122">F183</f>
        <v>471.9</v>
      </c>
      <c r="G182" s="63">
        <f t="shared" si="122"/>
        <v>0</v>
      </c>
      <c r="H182" s="63">
        <f t="shared" si="122"/>
        <v>471.9</v>
      </c>
      <c r="I182" s="64">
        <f t="shared" si="118"/>
        <v>1E-3</v>
      </c>
      <c r="J182" s="153"/>
      <c r="K182" s="153">
        <f t="shared" si="110"/>
        <v>1</v>
      </c>
      <c r="L182" s="154">
        <f t="shared" si="119"/>
        <v>-242.4</v>
      </c>
      <c r="M182" s="153">
        <f t="shared" si="120"/>
        <v>0.66100000000000003</v>
      </c>
      <c r="N182" s="155">
        <f>H182-G182</f>
        <v>471.9</v>
      </c>
    </row>
    <row r="183" spans="1:14" x14ac:dyDescent="0.2">
      <c r="A183" s="12"/>
      <c r="B183" s="7" t="s">
        <v>254</v>
      </c>
      <c r="C183" s="131">
        <v>714.3</v>
      </c>
      <c r="D183" s="131">
        <v>714.3</v>
      </c>
      <c r="E183" s="131"/>
      <c r="F183" s="131">
        <v>471.9</v>
      </c>
      <c r="G183" s="131">
        <v>0</v>
      </c>
      <c r="H183" s="131">
        <f>F183</f>
        <v>471.9</v>
      </c>
      <c r="I183" s="135">
        <f t="shared" si="118"/>
        <v>1E-3</v>
      </c>
      <c r="J183" s="151"/>
      <c r="K183" s="195">
        <f t="shared" si="110"/>
        <v>1</v>
      </c>
      <c r="L183" s="185">
        <f t="shared" si="119"/>
        <v>-242.4</v>
      </c>
      <c r="M183" s="186">
        <f t="shared" si="120"/>
        <v>0.66100000000000003</v>
      </c>
      <c r="N183" s="194">
        <f t="shared" ref="N183" si="123">H183-G183</f>
        <v>471.9</v>
      </c>
    </row>
    <row r="184" spans="1:14" s="21" customFormat="1" x14ac:dyDescent="0.2">
      <c r="A184" s="62" t="s">
        <v>57</v>
      </c>
      <c r="B184" s="66" t="s">
        <v>96</v>
      </c>
      <c r="C184" s="130">
        <f>C185</f>
        <v>88326.2</v>
      </c>
      <c r="D184" s="130">
        <f t="shared" ref="D184:H184" si="124">D185</f>
        <v>92562.3</v>
      </c>
      <c r="E184" s="130">
        <f t="shared" si="124"/>
        <v>50489.5</v>
      </c>
      <c r="F184" s="130">
        <f t="shared" si="124"/>
        <v>53840.1</v>
      </c>
      <c r="G184" s="130">
        <f t="shared" si="124"/>
        <v>51320.1</v>
      </c>
      <c r="H184" s="130">
        <f t="shared" si="124"/>
        <v>53840.1</v>
      </c>
      <c r="I184" s="64">
        <f t="shared" si="118"/>
        <v>7.8E-2</v>
      </c>
      <c r="J184" s="153">
        <f t="shared" si="117"/>
        <v>1.0660000000000001</v>
      </c>
      <c r="K184" s="153">
        <f t="shared" si="110"/>
        <v>1</v>
      </c>
      <c r="L184" s="154">
        <f t="shared" si="119"/>
        <v>-38722.199999999997</v>
      </c>
      <c r="M184" s="153">
        <f t="shared" si="120"/>
        <v>0.58199999999999996</v>
      </c>
      <c r="N184" s="155">
        <f>H184-G184</f>
        <v>2520</v>
      </c>
    </row>
    <row r="185" spans="1:14" s="30" customFormat="1" x14ac:dyDescent="0.2">
      <c r="A185" s="77" t="s">
        <v>59</v>
      </c>
      <c r="B185" s="78" t="s">
        <v>58</v>
      </c>
      <c r="C185" s="146">
        <f>C186+C188</f>
        <v>88326.2</v>
      </c>
      <c r="D185" s="146">
        <f>D186+D188</f>
        <v>92562.3</v>
      </c>
      <c r="E185" s="146">
        <f t="shared" ref="E185:F185" si="125">E186+E188</f>
        <v>50489.5</v>
      </c>
      <c r="F185" s="146">
        <f t="shared" si="125"/>
        <v>53840.1</v>
      </c>
      <c r="G185" s="146">
        <f t="shared" ref="G185:H185" si="126">G186+G188</f>
        <v>51320.1</v>
      </c>
      <c r="H185" s="146">
        <f t="shared" si="126"/>
        <v>53840.1</v>
      </c>
      <c r="I185" s="71">
        <f t="shared" si="118"/>
        <v>7.8E-2</v>
      </c>
      <c r="J185" s="153">
        <f t="shared" si="117"/>
        <v>1.0660000000000001</v>
      </c>
      <c r="K185" s="195">
        <f t="shared" si="110"/>
        <v>1</v>
      </c>
      <c r="L185" s="185">
        <f t="shared" si="119"/>
        <v>-38722.199999999997</v>
      </c>
      <c r="M185" s="186">
        <f t="shared" si="120"/>
        <v>0.58199999999999996</v>
      </c>
      <c r="N185" s="194">
        <f>H185-G185</f>
        <v>2520</v>
      </c>
    </row>
    <row r="186" spans="1:14" ht="45" customHeight="1" x14ac:dyDescent="0.2">
      <c r="A186" s="13">
        <v>611</v>
      </c>
      <c r="B186" s="7" t="s">
        <v>93</v>
      </c>
      <c r="C186" s="5">
        <v>55707.1</v>
      </c>
      <c r="D186" s="90">
        <v>53460.6</v>
      </c>
      <c r="E186" s="90">
        <v>29543.5</v>
      </c>
      <c r="F186" s="90">
        <v>31930</v>
      </c>
      <c r="G186" s="90">
        <v>29543.5</v>
      </c>
      <c r="H186" s="90">
        <f>F186</f>
        <v>31930</v>
      </c>
      <c r="I186" s="144">
        <f t="shared" si="118"/>
        <v>4.5999999999999999E-2</v>
      </c>
      <c r="J186" s="153">
        <f t="shared" si="117"/>
        <v>1.081</v>
      </c>
      <c r="K186" s="195">
        <f t="shared" si="110"/>
        <v>1</v>
      </c>
      <c r="L186" s="185">
        <f t="shared" si="119"/>
        <v>-21530.6</v>
      </c>
      <c r="M186" s="186">
        <f t="shared" si="120"/>
        <v>0.59699999999999998</v>
      </c>
      <c r="N186" s="194">
        <f>H186-G186</f>
        <v>2386.5</v>
      </c>
    </row>
    <row r="187" spans="1:14" ht="13.5" hidden="1" customHeight="1" x14ac:dyDescent="0.2">
      <c r="A187" s="13"/>
      <c r="B187" s="8" t="s">
        <v>97</v>
      </c>
      <c r="C187" s="5"/>
      <c r="D187" s="90"/>
      <c r="E187" s="90"/>
      <c r="F187" s="90">
        <f t="shared" ref="F187:H188" si="127">D187</f>
        <v>0</v>
      </c>
      <c r="G187" s="90"/>
      <c r="H187" s="90">
        <f t="shared" si="127"/>
        <v>0</v>
      </c>
      <c r="I187" s="144">
        <f t="shared" si="118"/>
        <v>0</v>
      </c>
      <c r="J187" s="153" t="e">
        <f t="shared" si="117"/>
        <v>#DIV/0!</v>
      </c>
      <c r="K187" s="153" t="e">
        <f t="shared" si="110"/>
        <v>#DIV/0!</v>
      </c>
      <c r="L187" s="185"/>
      <c r="M187" s="186"/>
      <c r="N187" s="194"/>
    </row>
    <row r="188" spans="1:14" ht="13.5" customHeight="1" x14ac:dyDescent="0.2">
      <c r="A188" s="13">
        <v>612</v>
      </c>
      <c r="B188" s="8" t="s">
        <v>94</v>
      </c>
      <c r="C188" s="5">
        <v>32619.1</v>
      </c>
      <c r="D188" s="90">
        <v>39101.699999999997</v>
      </c>
      <c r="E188" s="90">
        <f>20945.9+0.1</f>
        <v>20946</v>
      </c>
      <c r="F188" s="90">
        <v>21910.1</v>
      </c>
      <c r="G188" s="90">
        <v>21776.6</v>
      </c>
      <c r="H188" s="90">
        <f t="shared" si="127"/>
        <v>21910.1</v>
      </c>
      <c r="I188" s="144">
        <f t="shared" si="118"/>
        <v>3.2000000000000001E-2</v>
      </c>
      <c r="J188" s="153">
        <f t="shared" si="117"/>
        <v>1.046</v>
      </c>
      <c r="K188" s="195">
        <f t="shared" si="110"/>
        <v>1</v>
      </c>
      <c r="L188" s="185">
        <f>H188-D188</f>
        <v>-17191.599999999999</v>
      </c>
      <c r="M188" s="186">
        <f>H188/D188</f>
        <v>0.56000000000000005</v>
      </c>
      <c r="N188" s="194">
        <f>H188-G188</f>
        <v>133.5</v>
      </c>
    </row>
    <row r="189" spans="1:14" x14ac:dyDescent="0.2">
      <c r="A189" s="79"/>
      <c r="B189" s="80" t="s">
        <v>170</v>
      </c>
      <c r="C189" s="80"/>
      <c r="D189" s="81"/>
      <c r="E189" s="81"/>
      <c r="F189" s="81"/>
      <c r="G189" s="81"/>
      <c r="H189" s="81"/>
      <c r="I189" s="145"/>
      <c r="J189" s="186"/>
      <c r="K189" s="153"/>
      <c r="L189" s="185"/>
      <c r="M189" s="186"/>
      <c r="N189" s="194"/>
    </row>
    <row r="190" spans="1:14" x14ac:dyDescent="0.2">
      <c r="A190" s="79" t="s">
        <v>255</v>
      </c>
      <c r="B190" s="74" t="s">
        <v>95</v>
      </c>
      <c r="C190" s="75">
        <v>70160.3</v>
      </c>
      <c r="D190" s="81">
        <v>71041.3</v>
      </c>
      <c r="E190" s="81">
        <v>44529.5</v>
      </c>
      <c r="F190" s="81">
        <v>46505.5</v>
      </c>
      <c r="G190" s="81">
        <v>44529.5</v>
      </c>
      <c r="H190" s="81">
        <f>F190</f>
        <v>46505.5</v>
      </c>
      <c r="I190" s="145">
        <f t="shared" ref="I190:I195" si="128">H190/$H$228</f>
        <v>6.7000000000000004E-2</v>
      </c>
      <c r="J190" s="186">
        <f t="shared" ref="J190:J198" si="129">H190/E190</f>
        <v>1.044</v>
      </c>
      <c r="K190" s="195">
        <f t="shared" si="110"/>
        <v>1</v>
      </c>
      <c r="L190" s="185">
        <f t="shared" ref="L190:L195" si="130">H190-D190</f>
        <v>-24535.8</v>
      </c>
      <c r="M190" s="186">
        <f t="shared" ref="M190:M195" si="131">H190/D190</f>
        <v>0.65500000000000003</v>
      </c>
      <c r="N190" s="194">
        <f>H190-G190</f>
        <v>1976</v>
      </c>
    </row>
    <row r="191" spans="1:14" x14ac:dyDescent="0.2">
      <c r="A191" s="79" t="s">
        <v>256</v>
      </c>
      <c r="B191" s="74" t="s">
        <v>156</v>
      </c>
      <c r="C191" s="75">
        <v>308.60000000000002</v>
      </c>
      <c r="D191" s="81">
        <v>322.2</v>
      </c>
      <c r="E191" s="81">
        <v>201</v>
      </c>
      <c r="F191" s="81">
        <v>197.4</v>
      </c>
      <c r="G191" s="81">
        <v>201</v>
      </c>
      <c r="H191" s="81">
        <f t="shared" ref="H191:H194" si="132">F191</f>
        <v>197.4</v>
      </c>
      <c r="I191" s="145">
        <f t="shared" si="128"/>
        <v>0</v>
      </c>
      <c r="J191" s="186">
        <f t="shared" si="129"/>
        <v>0.98199999999999998</v>
      </c>
      <c r="K191" s="195">
        <f t="shared" si="110"/>
        <v>1</v>
      </c>
      <c r="L191" s="185">
        <f t="shared" si="130"/>
        <v>-124.8</v>
      </c>
      <c r="M191" s="186">
        <f t="shared" si="131"/>
        <v>0.61299999999999999</v>
      </c>
      <c r="N191" s="194">
        <f t="shared" ref="N191:N194" si="133">H191-G191</f>
        <v>-3.6</v>
      </c>
    </row>
    <row r="192" spans="1:14" x14ac:dyDescent="0.2">
      <c r="A192" s="73" t="s">
        <v>257</v>
      </c>
      <c r="B192" s="74" t="s">
        <v>98</v>
      </c>
      <c r="C192" s="75">
        <v>7641.5</v>
      </c>
      <c r="D192" s="81">
        <v>7431.9</v>
      </c>
      <c r="E192" s="81">
        <v>4385.8999999999996</v>
      </c>
      <c r="F192" s="81">
        <v>3174.6</v>
      </c>
      <c r="G192" s="81">
        <v>4385.8999999999996</v>
      </c>
      <c r="H192" s="81">
        <f t="shared" si="132"/>
        <v>3174.6</v>
      </c>
      <c r="I192" s="145">
        <f t="shared" si="128"/>
        <v>5.0000000000000001E-3</v>
      </c>
      <c r="J192" s="186">
        <f t="shared" si="129"/>
        <v>0.72399999999999998</v>
      </c>
      <c r="K192" s="195">
        <f t="shared" si="110"/>
        <v>1</v>
      </c>
      <c r="L192" s="185">
        <f t="shared" si="130"/>
        <v>-4257.3</v>
      </c>
      <c r="M192" s="186">
        <f t="shared" si="131"/>
        <v>0.42699999999999999</v>
      </c>
      <c r="N192" s="194">
        <f t="shared" si="133"/>
        <v>-1211.3</v>
      </c>
    </row>
    <row r="193" spans="1:14" x14ac:dyDescent="0.2">
      <c r="A193" s="73" t="s">
        <v>258</v>
      </c>
      <c r="B193" s="74" t="s">
        <v>153</v>
      </c>
      <c r="C193" s="75">
        <v>1678.5</v>
      </c>
      <c r="D193" s="81">
        <v>1949.9</v>
      </c>
      <c r="E193" s="81">
        <v>221.4</v>
      </c>
      <c r="F193" s="81">
        <v>889.2</v>
      </c>
      <c r="G193" s="81">
        <v>221.4</v>
      </c>
      <c r="H193" s="81">
        <f t="shared" si="132"/>
        <v>889.2</v>
      </c>
      <c r="I193" s="145">
        <f t="shared" si="128"/>
        <v>1E-3</v>
      </c>
      <c r="J193" s="186">
        <f t="shared" si="129"/>
        <v>4.016</v>
      </c>
      <c r="K193" s="195">
        <f t="shared" si="110"/>
        <v>1</v>
      </c>
      <c r="L193" s="185">
        <f t="shared" si="130"/>
        <v>-1060.7</v>
      </c>
      <c r="M193" s="186">
        <f t="shared" si="131"/>
        <v>0.45600000000000002</v>
      </c>
      <c r="N193" s="194">
        <f t="shared" si="133"/>
        <v>667.8</v>
      </c>
    </row>
    <row r="194" spans="1:14" x14ac:dyDescent="0.2">
      <c r="A194" s="73"/>
      <c r="B194" s="74" t="s">
        <v>271</v>
      </c>
      <c r="C194" s="75">
        <v>8537.2999999999993</v>
      </c>
      <c r="D194" s="81">
        <f>11817.1-0.1</f>
        <v>11817</v>
      </c>
      <c r="E194" s="81">
        <f>1151.6+0.1</f>
        <v>1151.7</v>
      </c>
      <c r="F194" s="81">
        <f>3073.3+0.1</f>
        <v>3073.4</v>
      </c>
      <c r="G194" s="81">
        <v>1982.3</v>
      </c>
      <c r="H194" s="81">
        <f t="shared" si="132"/>
        <v>3073.4</v>
      </c>
      <c r="I194" s="145">
        <f t="shared" si="128"/>
        <v>4.0000000000000001E-3</v>
      </c>
      <c r="J194" s="186">
        <f t="shared" si="129"/>
        <v>2.669</v>
      </c>
      <c r="K194" s="195">
        <f t="shared" si="110"/>
        <v>1</v>
      </c>
      <c r="L194" s="185">
        <f t="shared" si="130"/>
        <v>-8743.6</v>
      </c>
      <c r="M194" s="186">
        <f t="shared" si="131"/>
        <v>0.26</v>
      </c>
      <c r="N194" s="194">
        <f t="shared" si="133"/>
        <v>1091.0999999999999</v>
      </c>
    </row>
    <row r="195" spans="1:14" ht="13.5" hidden="1" customHeight="1" x14ac:dyDescent="0.2">
      <c r="A195" s="13">
        <v>612</v>
      </c>
      <c r="B195" s="7" t="s">
        <v>94</v>
      </c>
      <c r="C195" s="5"/>
      <c r="D195" s="90"/>
      <c r="E195" s="90"/>
      <c r="F195" s="90">
        <f t="shared" ref="F195:H197" si="134">D195</f>
        <v>0</v>
      </c>
      <c r="G195" s="90"/>
      <c r="H195" s="90">
        <f t="shared" si="134"/>
        <v>0</v>
      </c>
      <c r="I195" s="144">
        <f t="shared" si="128"/>
        <v>0</v>
      </c>
      <c r="J195" s="153" t="e">
        <f t="shared" si="129"/>
        <v>#DIV/0!</v>
      </c>
      <c r="K195" s="195" t="e">
        <f t="shared" si="110"/>
        <v>#DIV/0!</v>
      </c>
      <c r="L195" s="185">
        <f t="shared" si="130"/>
        <v>0</v>
      </c>
      <c r="M195" s="186" t="e">
        <f t="shared" si="131"/>
        <v>#DIV/0!</v>
      </c>
      <c r="N195" s="194" t="e">
        <f>H195-#REF!</f>
        <v>#REF!</v>
      </c>
    </row>
    <row r="196" spans="1:14" ht="13.5" hidden="1" customHeight="1" x14ac:dyDescent="0.2">
      <c r="A196" s="115"/>
      <c r="B196" s="114" t="s">
        <v>26</v>
      </c>
      <c r="C196" s="75"/>
      <c r="D196" s="90"/>
      <c r="E196" s="90"/>
      <c r="F196" s="90">
        <f t="shared" si="134"/>
        <v>0</v>
      </c>
      <c r="G196" s="90"/>
      <c r="H196" s="90">
        <f t="shared" si="134"/>
        <v>0</v>
      </c>
      <c r="I196" s="144"/>
      <c r="J196" s="153" t="e">
        <f t="shared" si="129"/>
        <v>#DIV/0!</v>
      </c>
      <c r="K196" s="195" t="e">
        <f t="shared" si="110"/>
        <v>#DIV/0!</v>
      </c>
      <c r="L196" s="185"/>
      <c r="M196" s="186"/>
      <c r="N196" s="194"/>
    </row>
    <row r="197" spans="1:14" ht="40.5" hidden="1" customHeight="1" x14ac:dyDescent="0.2">
      <c r="A197" s="115"/>
      <c r="B197" s="114" t="s">
        <v>158</v>
      </c>
      <c r="C197" s="75"/>
      <c r="D197" s="90"/>
      <c r="E197" s="90"/>
      <c r="F197" s="90">
        <f t="shared" si="134"/>
        <v>0</v>
      </c>
      <c r="G197" s="90"/>
      <c r="H197" s="90">
        <f t="shared" si="134"/>
        <v>0</v>
      </c>
      <c r="I197" s="144">
        <f>H197/$H$228</f>
        <v>0</v>
      </c>
      <c r="J197" s="153" t="e">
        <f t="shared" si="129"/>
        <v>#DIV/0!</v>
      </c>
      <c r="K197" s="195" t="e">
        <f t="shared" si="110"/>
        <v>#DIV/0!</v>
      </c>
      <c r="L197" s="185">
        <f t="shared" ref="L197:L208" si="135">H197-D197</f>
        <v>0</v>
      </c>
      <c r="M197" s="186" t="e">
        <f t="shared" ref="M197:M207" si="136">H197/D197</f>
        <v>#DIV/0!</v>
      </c>
      <c r="N197" s="194" t="e">
        <f>H197-#REF!</f>
        <v>#REF!</v>
      </c>
    </row>
    <row r="198" spans="1:14" ht="40.5" x14ac:dyDescent="0.2">
      <c r="A198" s="12"/>
      <c r="B198" s="223" t="s">
        <v>279</v>
      </c>
      <c r="C198" s="131">
        <v>484</v>
      </c>
      <c r="D198" s="141">
        <v>484</v>
      </c>
      <c r="E198" s="141"/>
      <c r="F198" s="90">
        <v>0</v>
      </c>
      <c r="G198" s="141">
        <v>323.60000000000002</v>
      </c>
      <c r="H198" s="90">
        <f>F198</f>
        <v>0</v>
      </c>
      <c r="I198" s="144">
        <f>H198/$H$228</f>
        <v>0</v>
      </c>
      <c r="J198" s="186" t="e">
        <f t="shared" si="129"/>
        <v>#DIV/0!</v>
      </c>
      <c r="K198" s="195">
        <v>0</v>
      </c>
      <c r="L198" s="185">
        <f>H198-D198</f>
        <v>-484</v>
      </c>
      <c r="M198" s="186">
        <f t="shared" si="136"/>
        <v>0</v>
      </c>
      <c r="N198" s="194">
        <f>H198-G198</f>
        <v>-323.60000000000002</v>
      </c>
    </row>
    <row r="199" spans="1:14" ht="27" x14ac:dyDescent="0.2">
      <c r="A199" s="115"/>
      <c r="B199" s="223" t="s">
        <v>280</v>
      </c>
      <c r="C199" s="141">
        <v>6313.5</v>
      </c>
      <c r="D199" s="141">
        <v>8435.4</v>
      </c>
      <c r="E199" s="141"/>
      <c r="F199" s="90">
        <v>1853.6</v>
      </c>
      <c r="G199" s="141">
        <v>582</v>
      </c>
      <c r="H199" s="90">
        <f t="shared" ref="H199:H200" si="137">F199</f>
        <v>1853.6</v>
      </c>
      <c r="I199" s="144">
        <f t="shared" ref="I199:I200" si="138">H199/$H$228</f>
        <v>3.0000000000000001E-3</v>
      </c>
      <c r="J199" s="153" t="e">
        <f t="shared" ref="J199:J207" si="139">H199/E199</f>
        <v>#DIV/0!</v>
      </c>
      <c r="K199" s="195">
        <f t="shared" si="110"/>
        <v>1</v>
      </c>
      <c r="L199" s="185">
        <f t="shared" ref="L199:L200" si="140">H199-D199</f>
        <v>-6581.8</v>
      </c>
      <c r="M199" s="186">
        <f t="shared" si="136"/>
        <v>0.22</v>
      </c>
      <c r="N199" s="194">
        <f t="shared" ref="N199:N200" si="141">H199-G199</f>
        <v>1271.5999999999999</v>
      </c>
    </row>
    <row r="200" spans="1:14" ht="15.75" customHeight="1" x14ac:dyDescent="0.2">
      <c r="A200" s="12"/>
      <c r="B200" s="223" t="s">
        <v>278</v>
      </c>
      <c r="C200" s="131">
        <v>804.5</v>
      </c>
      <c r="D200" s="141">
        <v>804.5</v>
      </c>
      <c r="E200" s="141"/>
      <c r="F200" s="90">
        <v>14.8</v>
      </c>
      <c r="G200" s="141">
        <v>0</v>
      </c>
      <c r="H200" s="90">
        <f t="shared" si="137"/>
        <v>14.8</v>
      </c>
      <c r="I200" s="144">
        <f t="shared" si="138"/>
        <v>0</v>
      </c>
      <c r="J200" s="153"/>
      <c r="K200" s="195">
        <f t="shared" si="110"/>
        <v>1</v>
      </c>
      <c r="L200" s="185">
        <f t="shared" si="140"/>
        <v>-789.7</v>
      </c>
      <c r="M200" s="186">
        <f t="shared" si="136"/>
        <v>1.7999999999999999E-2</v>
      </c>
      <c r="N200" s="194">
        <f t="shared" si="141"/>
        <v>14.8</v>
      </c>
    </row>
    <row r="201" spans="1:14" s="21" customFormat="1" x14ac:dyDescent="0.2">
      <c r="A201" s="62" t="s">
        <v>99</v>
      </c>
      <c r="B201" s="66" t="s">
        <v>100</v>
      </c>
      <c r="C201" s="152">
        <f>C202+C203</f>
        <v>524.9</v>
      </c>
      <c r="D201" s="152">
        <f>D202+D203</f>
        <v>524.9</v>
      </c>
      <c r="E201" s="152">
        <f t="shared" ref="E201:F201" si="142">E202+E203</f>
        <v>398.2</v>
      </c>
      <c r="F201" s="152">
        <f t="shared" si="142"/>
        <v>399.3</v>
      </c>
      <c r="G201" s="152">
        <f t="shared" ref="G201:H201" si="143">G202+G203</f>
        <v>398.2</v>
      </c>
      <c r="H201" s="152">
        <f t="shared" si="143"/>
        <v>399.3</v>
      </c>
      <c r="I201" s="153">
        <f t="shared" ref="I201:I208" si="144">H201/$H$228</f>
        <v>1E-3</v>
      </c>
      <c r="J201" s="153">
        <f t="shared" si="139"/>
        <v>1.0029999999999999</v>
      </c>
      <c r="K201" s="153">
        <f t="shared" si="110"/>
        <v>1</v>
      </c>
      <c r="L201" s="154">
        <f t="shared" si="135"/>
        <v>-125.6</v>
      </c>
      <c r="M201" s="153">
        <f t="shared" si="136"/>
        <v>0.76100000000000001</v>
      </c>
      <c r="N201" s="155">
        <f t="shared" ref="N201:N208" si="145">H201-G201</f>
        <v>1.1000000000000001</v>
      </c>
    </row>
    <row r="202" spans="1:14" s="30" customFormat="1" x14ac:dyDescent="0.2">
      <c r="A202" s="12" t="s">
        <v>60</v>
      </c>
      <c r="B202" s="15" t="s">
        <v>61</v>
      </c>
      <c r="C202" s="132">
        <v>524.9</v>
      </c>
      <c r="D202" s="140">
        <v>524.9</v>
      </c>
      <c r="E202" s="140">
        <v>398.1</v>
      </c>
      <c r="F202" s="140">
        <v>399.3</v>
      </c>
      <c r="G202" s="140">
        <v>398.1</v>
      </c>
      <c r="H202" s="140">
        <f>F202</f>
        <v>399.3</v>
      </c>
      <c r="I202" s="151">
        <f t="shared" si="144"/>
        <v>1E-3</v>
      </c>
      <c r="J202" s="153">
        <f t="shared" si="139"/>
        <v>1.0029999999999999</v>
      </c>
      <c r="K202" s="195">
        <f t="shared" si="110"/>
        <v>1</v>
      </c>
      <c r="L202" s="185">
        <f t="shared" si="135"/>
        <v>-125.6</v>
      </c>
      <c r="M202" s="186">
        <f t="shared" si="136"/>
        <v>0.76100000000000001</v>
      </c>
      <c r="N202" s="194">
        <f t="shared" si="145"/>
        <v>1.2</v>
      </c>
    </row>
    <row r="203" spans="1:14" s="30" customFormat="1" ht="13.5" customHeight="1" x14ac:dyDescent="0.2">
      <c r="A203" s="12" t="s">
        <v>220</v>
      </c>
      <c r="B203" s="15" t="s">
        <v>221</v>
      </c>
      <c r="C203" s="132">
        <v>0</v>
      </c>
      <c r="D203" s="140">
        <v>0</v>
      </c>
      <c r="E203" s="140">
        <v>0.1</v>
      </c>
      <c r="F203" s="140">
        <v>0</v>
      </c>
      <c r="G203" s="140">
        <v>0.1</v>
      </c>
      <c r="H203" s="140">
        <v>0</v>
      </c>
      <c r="I203" s="151">
        <f t="shared" si="144"/>
        <v>0</v>
      </c>
      <c r="J203" s="153">
        <f t="shared" si="139"/>
        <v>0</v>
      </c>
      <c r="K203" s="195">
        <v>0</v>
      </c>
      <c r="L203" s="185">
        <f t="shared" si="135"/>
        <v>0</v>
      </c>
      <c r="M203" s="186">
        <v>0</v>
      </c>
      <c r="N203" s="194">
        <f t="shared" si="145"/>
        <v>-0.1</v>
      </c>
    </row>
    <row r="204" spans="1:14" s="21" customFormat="1" x14ac:dyDescent="0.2">
      <c r="A204" s="62" t="s">
        <v>101</v>
      </c>
      <c r="B204" s="66" t="s">
        <v>48</v>
      </c>
      <c r="C204" s="65">
        <f t="shared" ref="C204:G204" si="146">C205+C222</f>
        <v>19543.599999999999</v>
      </c>
      <c r="D204" s="65">
        <f t="shared" si="146"/>
        <v>25902.1</v>
      </c>
      <c r="E204" s="65">
        <f t="shared" si="146"/>
        <v>9657</v>
      </c>
      <c r="F204" s="65">
        <f>F205+F222</f>
        <v>10401.299999999999</v>
      </c>
      <c r="G204" s="65">
        <f t="shared" si="146"/>
        <v>10548.6</v>
      </c>
      <c r="H204" s="65">
        <f>H205+H222</f>
        <v>10401.299999999999</v>
      </c>
      <c r="I204" s="64">
        <f t="shared" si="144"/>
        <v>1.4999999999999999E-2</v>
      </c>
      <c r="J204" s="153">
        <f t="shared" si="139"/>
        <v>1.077</v>
      </c>
      <c r="K204" s="153">
        <f t="shared" si="110"/>
        <v>1</v>
      </c>
      <c r="L204" s="154">
        <f t="shared" si="135"/>
        <v>-15500.8</v>
      </c>
      <c r="M204" s="153">
        <f t="shared" si="136"/>
        <v>0.40200000000000002</v>
      </c>
      <c r="N204" s="155">
        <f t="shared" si="145"/>
        <v>-147.30000000000001</v>
      </c>
    </row>
    <row r="205" spans="1:14" s="30" customFormat="1" x14ac:dyDescent="0.2">
      <c r="A205" s="77" t="s">
        <v>71</v>
      </c>
      <c r="B205" s="120" t="s">
        <v>175</v>
      </c>
      <c r="C205" s="147">
        <f t="shared" ref="C205:G205" si="147">C206+C207+C221+C208</f>
        <v>19143.599999999999</v>
      </c>
      <c r="D205" s="147">
        <f t="shared" si="147"/>
        <v>25902.1</v>
      </c>
      <c r="E205" s="147">
        <f t="shared" si="147"/>
        <v>9518.2999999999993</v>
      </c>
      <c r="F205" s="147">
        <f>F206+F207+F221+F208</f>
        <v>10401.299999999999</v>
      </c>
      <c r="G205" s="147">
        <f t="shared" si="147"/>
        <v>10409.9</v>
      </c>
      <c r="H205" s="147">
        <f>H206+H207+H221+H208</f>
        <v>10401.299999999999</v>
      </c>
      <c r="I205" s="71">
        <f t="shared" si="144"/>
        <v>1.4999999999999999E-2</v>
      </c>
      <c r="J205" s="153">
        <f t="shared" si="139"/>
        <v>1.093</v>
      </c>
      <c r="K205" s="195">
        <f t="shared" si="110"/>
        <v>1</v>
      </c>
      <c r="L205" s="185">
        <f t="shared" si="135"/>
        <v>-15500.8</v>
      </c>
      <c r="M205" s="186">
        <f t="shared" si="136"/>
        <v>0.40200000000000002</v>
      </c>
      <c r="N205" s="196">
        <f t="shared" si="145"/>
        <v>-8.6</v>
      </c>
    </row>
    <row r="206" spans="1:14" ht="40.5" x14ac:dyDescent="0.2">
      <c r="A206" s="13">
        <v>611</v>
      </c>
      <c r="B206" s="7" t="s">
        <v>93</v>
      </c>
      <c r="C206" s="5">
        <v>15110.1</v>
      </c>
      <c r="D206" s="90">
        <v>15388</v>
      </c>
      <c r="E206" s="90">
        <v>7137.3</v>
      </c>
      <c r="F206" s="90">
        <v>8513.1</v>
      </c>
      <c r="G206" s="90">
        <v>7137.3</v>
      </c>
      <c r="H206" s="90">
        <f>F206</f>
        <v>8513.1</v>
      </c>
      <c r="I206" s="144">
        <f t="shared" si="144"/>
        <v>1.2E-2</v>
      </c>
      <c r="J206" s="186">
        <f t="shared" si="139"/>
        <v>1.1930000000000001</v>
      </c>
      <c r="K206" s="195">
        <f t="shared" si="110"/>
        <v>1</v>
      </c>
      <c r="L206" s="185">
        <f t="shared" si="135"/>
        <v>-6874.9</v>
      </c>
      <c r="M206" s="186">
        <f t="shared" si="136"/>
        <v>0.55300000000000005</v>
      </c>
      <c r="N206" s="194">
        <f t="shared" si="145"/>
        <v>1375.8</v>
      </c>
    </row>
    <row r="207" spans="1:14" x14ac:dyDescent="0.2">
      <c r="A207" s="13">
        <v>612</v>
      </c>
      <c r="B207" s="7" t="s">
        <v>94</v>
      </c>
      <c r="C207" s="5">
        <v>3383.5</v>
      </c>
      <c r="D207" s="90">
        <v>6983.1</v>
      </c>
      <c r="E207" s="90">
        <f>1915.2+350</f>
        <v>2265.1999999999998</v>
      </c>
      <c r="F207" s="90">
        <v>1888.2</v>
      </c>
      <c r="G207" s="90">
        <v>3136.1</v>
      </c>
      <c r="H207" s="90">
        <f t="shared" ref="F207:H208" si="148">F207</f>
        <v>1888.2</v>
      </c>
      <c r="I207" s="144">
        <f t="shared" si="144"/>
        <v>3.0000000000000001E-3</v>
      </c>
      <c r="J207" s="186">
        <f t="shared" si="139"/>
        <v>0.83399999999999996</v>
      </c>
      <c r="K207" s="195">
        <f t="shared" si="110"/>
        <v>1</v>
      </c>
      <c r="L207" s="185">
        <f t="shared" si="135"/>
        <v>-5094.8999999999996</v>
      </c>
      <c r="M207" s="186">
        <f t="shared" si="136"/>
        <v>0.27</v>
      </c>
      <c r="N207" s="194">
        <f t="shared" si="145"/>
        <v>-1247.9000000000001</v>
      </c>
    </row>
    <row r="208" spans="1:14" x14ac:dyDescent="0.2">
      <c r="A208" s="13">
        <v>244</v>
      </c>
      <c r="B208" s="7" t="s">
        <v>274</v>
      </c>
      <c r="C208" s="5">
        <v>650</v>
      </c>
      <c r="D208" s="90">
        <v>0</v>
      </c>
      <c r="E208" s="90"/>
      <c r="F208" s="90">
        <f t="shared" si="148"/>
        <v>0</v>
      </c>
      <c r="G208" s="90">
        <v>20.7</v>
      </c>
      <c r="H208" s="90">
        <f t="shared" si="148"/>
        <v>0</v>
      </c>
      <c r="I208" s="144">
        <f t="shared" si="144"/>
        <v>0</v>
      </c>
      <c r="J208" s="186"/>
      <c r="K208" s="195">
        <v>0</v>
      </c>
      <c r="L208" s="185">
        <f t="shared" si="135"/>
        <v>0</v>
      </c>
      <c r="M208" s="186">
        <v>0</v>
      </c>
      <c r="N208" s="194">
        <f t="shared" si="145"/>
        <v>-20.7</v>
      </c>
    </row>
    <row r="209" spans="1:15" x14ac:dyDescent="0.2">
      <c r="A209" s="79"/>
      <c r="B209" s="80" t="s">
        <v>170</v>
      </c>
      <c r="C209" s="80"/>
      <c r="D209" s="81"/>
      <c r="E209" s="81"/>
      <c r="F209" s="81"/>
      <c r="G209" s="81"/>
      <c r="H209" s="81"/>
      <c r="I209" s="145"/>
      <c r="J209" s="186"/>
      <c r="K209" s="195"/>
      <c r="L209" s="185"/>
      <c r="M209" s="186"/>
      <c r="N209" s="194"/>
      <c r="O209" s="228"/>
    </row>
    <row r="210" spans="1:15" x14ac:dyDescent="0.2">
      <c r="A210" s="79" t="s">
        <v>255</v>
      </c>
      <c r="B210" s="74" t="s">
        <v>95</v>
      </c>
      <c r="C210" s="75">
        <v>12175.5</v>
      </c>
      <c r="D210" s="81">
        <v>13149.3</v>
      </c>
      <c r="E210" s="81">
        <v>6750</v>
      </c>
      <c r="F210" s="81">
        <v>8366.9</v>
      </c>
      <c r="G210" s="81">
        <v>6750</v>
      </c>
      <c r="H210" s="81">
        <f t="shared" ref="F210:H221" si="149">F210</f>
        <v>8366.9</v>
      </c>
      <c r="I210" s="145">
        <f t="shared" ref="I210:I215" si="150">H210/$H$228</f>
        <v>1.2E-2</v>
      </c>
      <c r="J210" s="186">
        <f>H210/E210</f>
        <v>1.24</v>
      </c>
      <c r="K210" s="195">
        <f t="shared" si="110"/>
        <v>1</v>
      </c>
      <c r="L210" s="185">
        <f t="shared" ref="L210:L215" si="151">H210-D210</f>
        <v>-4782.3999999999996</v>
      </c>
      <c r="M210" s="186">
        <f t="shared" ref="M210:M215" si="152">H210/D210</f>
        <v>0.63600000000000001</v>
      </c>
      <c r="N210" s="194">
        <f>H210-G210</f>
        <v>1616.9</v>
      </c>
    </row>
    <row r="211" spans="1:15" x14ac:dyDescent="0.2">
      <c r="A211" s="79" t="s">
        <v>256</v>
      </c>
      <c r="B211" s="74" t="s">
        <v>156</v>
      </c>
      <c r="C211" s="75">
        <v>31.6</v>
      </c>
      <c r="D211" s="81">
        <v>31.6</v>
      </c>
      <c r="E211" s="81">
        <v>18.2</v>
      </c>
      <c r="F211" s="81">
        <v>8.3000000000000007</v>
      </c>
      <c r="G211" s="81">
        <v>18.2</v>
      </c>
      <c r="H211" s="81">
        <f t="shared" si="149"/>
        <v>8.3000000000000007</v>
      </c>
      <c r="I211" s="145">
        <f t="shared" si="150"/>
        <v>0</v>
      </c>
      <c r="J211" s="186">
        <f>H211/E211</f>
        <v>0.45600000000000002</v>
      </c>
      <c r="K211" s="195">
        <f t="shared" si="110"/>
        <v>1</v>
      </c>
      <c r="L211" s="185">
        <f t="shared" si="151"/>
        <v>-23.3</v>
      </c>
      <c r="M211" s="186">
        <f t="shared" si="152"/>
        <v>0.26300000000000001</v>
      </c>
      <c r="N211" s="194">
        <f t="shared" ref="N211:N214" si="153">H211-G211</f>
        <v>-9.9</v>
      </c>
    </row>
    <row r="212" spans="1:15" x14ac:dyDescent="0.2">
      <c r="A212" s="73" t="s">
        <v>257</v>
      </c>
      <c r="B212" s="74" t="s">
        <v>98</v>
      </c>
      <c r="C212" s="75">
        <v>4700.5</v>
      </c>
      <c r="D212" s="81">
        <v>4500.5</v>
      </c>
      <c r="E212" s="81">
        <v>2169.6999999999998</v>
      </c>
      <c r="F212" s="81">
        <v>1184.5</v>
      </c>
      <c r="G212" s="81">
        <v>2169.6999999999998</v>
      </c>
      <c r="H212" s="81">
        <f t="shared" si="149"/>
        <v>1184.5</v>
      </c>
      <c r="I212" s="145">
        <f t="shared" si="150"/>
        <v>2E-3</v>
      </c>
      <c r="J212" s="186">
        <f>H212/E212</f>
        <v>0.54600000000000004</v>
      </c>
      <c r="K212" s="195">
        <f t="shared" si="110"/>
        <v>1</v>
      </c>
      <c r="L212" s="185">
        <f t="shared" si="151"/>
        <v>-3316</v>
      </c>
      <c r="M212" s="186">
        <f t="shared" si="152"/>
        <v>0.26300000000000001</v>
      </c>
      <c r="N212" s="194">
        <f t="shared" si="153"/>
        <v>-985.2</v>
      </c>
    </row>
    <row r="213" spans="1:15" x14ac:dyDescent="0.2">
      <c r="A213" s="73" t="s">
        <v>258</v>
      </c>
      <c r="B213" s="74" t="s">
        <v>153</v>
      </c>
      <c r="C213" s="75">
        <v>220.2</v>
      </c>
      <c r="D213" s="81">
        <v>215.1</v>
      </c>
      <c r="E213" s="81">
        <v>42.3</v>
      </c>
      <c r="F213" s="81">
        <v>60.8</v>
      </c>
      <c r="G213" s="81">
        <v>42.3</v>
      </c>
      <c r="H213" s="81">
        <f>F213</f>
        <v>60.8</v>
      </c>
      <c r="I213" s="145">
        <f t="shared" si="150"/>
        <v>0</v>
      </c>
      <c r="J213" s="186">
        <v>0</v>
      </c>
      <c r="K213" s="195">
        <f t="shared" si="110"/>
        <v>1</v>
      </c>
      <c r="L213" s="185">
        <f t="shared" si="151"/>
        <v>-154.30000000000001</v>
      </c>
      <c r="M213" s="186">
        <f t="shared" si="152"/>
        <v>0.28299999999999997</v>
      </c>
      <c r="N213" s="194">
        <f t="shared" si="153"/>
        <v>18.5</v>
      </c>
    </row>
    <row r="214" spans="1:15" x14ac:dyDescent="0.2">
      <c r="A214" s="73"/>
      <c r="B214" s="74" t="s">
        <v>271</v>
      </c>
      <c r="C214" s="75">
        <v>2015.8</v>
      </c>
      <c r="D214" s="81">
        <v>8005.6</v>
      </c>
      <c r="E214" s="81">
        <v>422.3</v>
      </c>
      <c r="F214" s="81">
        <v>780.8</v>
      </c>
      <c r="G214" s="81">
        <v>1429.7</v>
      </c>
      <c r="H214" s="81">
        <f t="shared" si="149"/>
        <v>780.8</v>
      </c>
      <c r="I214" s="145">
        <f t="shared" si="150"/>
        <v>1E-3</v>
      </c>
      <c r="J214" s="186">
        <f t="shared" ref="J214:J228" si="154">H214/E214</f>
        <v>1.849</v>
      </c>
      <c r="K214" s="195">
        <f t="shared" si="110"/>
        <v>1</v>
      </c>
      <c r="L214" s="185">
        <f t="shared" si="151"/>
        <v>-7224.8</v>
      </c>
      <c r="M214" s="186">
        <f t="shared" si="152"/>
        <v>9.8000000000000004E-2</v>
      </c>
      <c r="N214" s="194">
        <f t="shared" si="153"/>
        <v>-648.9</v>
      </c>
    </row>
    <row r="215" spans="1:15" ht="13.5" hidden="1" customHeight="1" x14ac:dyDescent="0.2">
      <c r="A215" s="13"/>
      <c r="B215" s="7" t="s">
        <v>94</v>
      </c>
      <c r="C215" s="75"/>
      <c r="D215" s="124"/>
      <c r="E215" s="124"/>
      <c r="F215" s="90">
        <f t="shared" si="149"/>
        <v>0</v>
      </c>
      <c r="G215" s="124"/>
      <c r="H215" s="90">
        <f t="shared" si="149"/>
        <v>0</v>
      </c>
      <c r="I215" s="128">
        <f t="shared" si="150"/>
        <v>0</v>
      </c>
      <c r="J215" s="153" t="e">
        <f t="shared" si="154"/>
        <v>#DIV/0!</v>
      </c>
      <c r="K215" s="153" t="e">
        <f t="shared" si="110"/>
        <v>#DIV/0!</v>
      </c>
      <c r="L215" s="185">
        <f t="shared" si="151"/>
        <v>0</v>
      </c>
      <c r="M215" s="186" t="e">
        <f t="shared" si="152"/>
        <v>#DIV/0!</v>
      </c>
      <c r="N215" s="194" t="e">
        <f>H215-#REF!</f>
        <v>#REF!</v>
      </c>
    </row>
    <row r="216" spans="1:15" ht="13.5" hidden="1" customHeight="1" x14ac:dyDescent="0.2">
      <c r="A216" s="115"/>
      <c r="B216" s="114" t="s">
        <v>26</v>
      </c>
      <c r="C216" s="75"/>
      <c r="D216" s="124"/>
      <c r="E216" s="124"/>
      <c r="F216" s="90">
        <f t="shared" si="149"/>
        <v>0</v>
      </c>
      <c r="G216" s="124"/>
      <c r="H216" s="90">
        <f t="shared" si="149"/>
        <v>0</v>
      </c>
      <c r="I216" s="128"/>
      <c r="J216" s="153" t="e">
        <f t="shared" si="154"/>
        <v>#DIV/0!</v>
      </c>
      <c r="K216" s="153" t="e">
        <f t="shared" si="110"/>
        <v>#DIV/0!</v>
      </c>
      <c r="L216" s="185"/>
      <c r="M216" s="186"/>
      <c r="N216" s="194"/>
    </row>
    <row r="217" spans="1:15" ht="27" hidden="1" customHeight="1" x14ac:dyDescent="0.2">
      <c r="A217" s="115"/>
      <c r="B217" s="114" t="s">
        <v>157</v>
      </c>
      <c r="C217" s="75"/>
      <c r="D217" s="124"/>
      <c r="E217" s="124"/>
      <c r="F217" s="90">
        <f t="shared" si="149"/>
        <v>0</v>
      </c>
      <c r="G217" s="124"/>
      <c r="H217" s="90">
        <f t="shared" si="149"/>
        <v>0</v>
      </c>
      <c r="I217" s="128">
        <f t="shared" ref="I217:I228" si="155">H217/$H$228</f>
        <v>0</v>
      </c>
      <c r="J217" s="153" t="e">
        <f t="shared" si="154"/>
        <v>#DIV/0!</v>
      </c>
      <c r="K217" s="153" t="e">
        <f t="shared" si="110"/>
        <v>#DIV/0!</v>
      </c>
      <c r="L217" s="185">
        <f t="shared" ref="L217:L228" si="156">H217-D217</f>
        <v>0</v>
      </c>
      <c r="M217" s="186" t="e">
        <f t="shared" ref="M217:M228" si="157">H217/D217</f>
        <v>#DIV/0!</v>
      </c>
      <c r="N217" s="194" t="e">
        <f>H217-#REF!</f>
        <v>#REF!</v>
      </c>
    </row>
    <row r="218" spans="1:15" ht="26.25" customHeight="1" x14ac:dyDescent="0.2">
      <c r="A218" s="166"/>
      <c r="B218" s="222" t="s">
        <v>276</v>
      </c>
      <c r="C218" s="131">
        <v>1700</v>
      </c>
      <c r="D218" s="141">
        <v>2100</v>
      </c>
      <c r="E218" s="141">
        <v>891.6</v>
      </c>
      <c r="F218" s="90">
        <v>625.79999999999995</v>
      </c>
      <c r="G218" s="141">
        <v>891.6</v>
      </c>
      <c r="H218" s="90">
        <f t="shared" si="149"/>
        <v>625.79999999999995</v>
      </c>
      <c r="I218" s="144">
        <f t="shared" si="155"/>
        <v>1E-3</v>
      </c>
      <c r="J218" s="153">
        <f t="shared" si="154"/>
        <v>0.70199999999999996</v>
      </c>
      <c r="K218" s="195">
        <f t="shared" si="110"/>
        <v>1</v>
      </c>
      <c r="L218" s="185">
        <f t="shared" si="156"/>
        <v>-1474.2</v>
      </c>
      <c r="M218" s="186">
        <f t="shared" si="157"/>
        <v>0.29799999999999999</v>
      </c>
      <c r="N218" s="194">
        <f t="shared" ref="N218:N228" si="158">H218-G218</f>
        <v>-265.8</v>
      </c>
    </row>
    <row r="219" spans="1:15" x14ac:dyDescent="0.2">
      <c r="A219" s="166"/>
      <c r="B219" s="222" t="s">
        <v>277</v>
      </c>
      <c r="C219" s="131">
        <v>0</v>
      </c>
      <c r="D219" s="141">
        <v>5351.1</v>
      </c>
      <c r="E219" s="141"/>
      <c r="F219" s="90">
        <v>135</v>
      </c>
      <c r="G219" s="141">
        <v>465.8</v>
      </c>
      <c r="H219" s="90">
        <f t="shared" si="149"/>
        <v>135</v>
      </c>
      <c r="I219" s="144">
        <f t="shared" si="155"/>
        <v>0</v>
      </c>
      <c r="J219" s="153"/>
      <c r="K219" s="195">
        <f t="shared" si="110"/>
        <v>1</v>
      </c>
      <c r="L219" s="185">
        <f t="shared" si="156"/>
        <v>-5216.1000000000004</v>
      </c>
      <c r="M219" s="186">
        <f t="shared" si="157"/>
        <v>2.5000000000000001E-2</v>
      </c>
      <c r="N219" s="194">
        <f t="shared" si="158"/>
        <v>-330.8</v>
      </c>
    </row>
    <row r="220" spans="1:15" x14ac:dyDescent="0.2">
      <c r="A220" s="166"/>
      <c r="B220" s="223" t="s">
        <v>278</v>
      </c>
      <c r="C220" s="131">
        <v>60.8</v>
      </c>
      <c r="D220" s="141">
        <v>284.3</v>
      </c>
      <c r="E220" s="141"/>
      <c r="F220" s="90">
        <v>0</v>
      </c>
      <c r="G220" s="141">
        <v>0</v>
      </c>
      <c r="H220" s="90">
        <f t="shared" si="149"/>
        <v>0</v>
      </c>
      <c r="I220" s="144">
        <f t="shared" si="155"/>
        <v>0</v>
      </c>
      <c r="J220" s="153"/>
      <c r="K220" s="195">
        <v>0</v>
      </c>
      <c r="L220" s="185">
        <f t="shared" si="156"/>
        <v>-284.3</v>
      </c>
      <c r="M220" s="186">
        <f t="shared" si="157"/>
        <v>0</v>
      </c>
      <c r="N220" s="194">
        <f t="shared" si="158"/>
        <v>0</v>
      </c>
    </row>
    <row r="221" spans="1:15" ht="67.5" x14ac:dyDescent="0.2">
      <c r="A221" s="12" t="s">
        <v>275</v>
      </c>
      <c r="B221" s="7" t="s">
        <v>272</v>
      </c>
      <c r="C221" s="131">
        <v>0</v>
      </c>
      <c r="D221" s="141">
        <v>3531</v>
      </c>
      <c r="E221" s="141">
        <v>115.8</v>
      </c>
      <c r="F221" s="90">
        <v>0</v>
      </c>
      <c r="G221" s="141">
        <v>115.8</v>
      </c>
      <c r="H221" s="90">
        <f t="shared" si="149"/>
        <v>0</v>
      </c>
      <c r="I221" s="144">
        <f t="shared" si="155"/>
        <v>0</v>
      </c>
      <c r="J221" s="153">
        <v>0</v>
      </c>
      <c r="K221" s="195">
        <v>0</v>
      </c>
      <c r="L221" s="185">
        <f t="shared" si="156"/>
        <v>-3531</v>
      </c>
      <c r="M221" s="186">
        <f t="shared" si="157"/>
        <v>0</v>
      </c>
      <c r="N221" s="194">
        <f t="shared" si="158"/>
        <v>-115.8</v>
      </c>
    </row>
    <row r="222" spans="1:15" ht="27" x14ac:dyDescent="0.2">
      <c r="A222" s="62" t="s">
        <v>218</v>
      </c>
      <c r="B222" s="66" t="s">
        <v>219</v>
      </c>
      <c r="C222" s="65">
        <f>C223</f>
        <v>400</v>
      </c>
      <c r="D222" s="65">
        <f>D223</f>
        <v>0</v>
      </c>
      <c r="E222" s="65">
        <f t="shared" ref="E222" si="159">E223</f>
        <v>138.69999999999999</v>
      </c>
      <c r="F222" s="65">
        <f>F223</f>
        <v>0</v>
      </c>
      <c r="G222" s="65">
        <f>G223</f>
        <v>138.69999999999999</v>
      </c>
      <c r="H222" s="65">
        <f>H223</f>
        <v>0</v>
      </c>
      <c r="I222" s="64">
        <f t="shared" si="155"/>
        <v>0</v>
      </c>
      <c r="J222" s="153">
        <f t="shared" ref="J222" si="160">H222/E222</f>
        <v>0</v>
      </c>
      <c r="K222" s="153">
        <v>0</v>
      </c>
      <c r="L222" s="154">
        <f t="shared" si="156"/>
        <v>0</v>
      </c>
      <c r="M222" s="153">
        <v>0</v>
      </c>
      <c r="N222" s="155">
        <f>H222-G222</f>
        <v>-138.69999999999999</v>
      </c>
    </row>
    <row r="223" spans="1:15" ht="67.5" x14ac:dyDescent="0.2">
      <c r="A223" s="166"/>
      <c r="B223" s="114" t="s">
        <v>273</v>
      </c>
      <c r="C223" s="131">
        <v>400</v>
      </c>
      <c r="D223" s="141">
        <v>0</v>
      </c>
      <c r="E223" s="141">
        <v>138.69999999999999</v>
      </c>
      <c r="F223" s="141">
        <v>0</v>
      </c>
      <c r="G223" s="141">
        <v>138.69999999999999</v>
      </c>
      <c r="H223" s="141">
        <v>0</v>
      </c>
      <c r="I223" s="144">
        <f t="shared" ref="I223" si="161">H223/$H$228</f>
        <v>0</v>
      </c>
      <c r="J223" s="153">
        <f t="shared" si="154"/>
        <v>0</v>
      </c>
      <c r="K223" s="195">
        <v>0</v>
      </c>
      <c r="L223" s="185">
        <f t="shared" ref="L223" si="162">H223-D223</f>
        <v>0</v>
      </c>
      <c r="M223" s="186">
        <v>0</v>
      </c>
      <c r="N223" s="194">
        <f t="shared" ref="N223" si="163">H223-G223</f>
        <v>-138.69999999999999</v>
      </c>
    </row>
    <row r="224" spans="1:15" s="21" customFormat="1" ht="27" x14ac:dyDescent="0.2">
      <c r="A224" s="69">
        <v>1300</v>
      </c>
      <c r="B224" s="66" t="s">
        <v>102</v>
      </c>
      <c r="C224" s="155">
        <f>C225</f>
        <v>19187.8</v>
      </c>
      <c r="D224" s="155">
        <f>D225</f>
        <v>19187.8</v>
      </c>
      <c r="E224" s="155">
        <f t="shared" ref="E224" si="164">E225</f>
        <v>13680.8</v>
      </c>
      <c r="F224" s="155">
        <f>F225</f>
        <v>11972.6</v>
      </c>
      <c r="G224" s="155">
        <f>G225</f>
        <v>13680.8</v>
      </c>
      <c r="H224" s="155">
        <f>H225</f>
        <v>11972.6</v>
      </c>
      <c r="I224" s="153">
        <f t="shared" si="155"/>
        <v>1.7000000000000001E-2</v>
      </c>
      <c r="J224" s="153">
        <f t="shared" si="154"/>
        <v>0.875</v>
      </c>
      <c r="K224" s="153">
        <f t="shared" si="110"/>
        <v>1</v>
      </c>
      <c r="L224" s="154">
        <f t="shared" si="156"/>
        <v>-7215.2</v>
      </c>
      <c r="M224" s="153">
        <f t="shared" si="157"/>
        <v>0.624</v>
      </c>
      <c r="N224" s="155">
        <f t="shared" si="158"/>
        <v>-1708.2</v>
      </c>
    </row>
    <row r="225" spans="1:14" s="30" customFormat="1" ht="27" x14ac:dyDescent="0.2">
      <c r="A225" s="12" t="s">
        <v>69</v>
      </c>
      <c r="B225" s="26" t="s">
        <v>103</v>
      </c>
      <c r="C225" s="132">
        <v>19187.8</v>
      </c>
      <c r="D225" s="132">
        <v>19187.8</v>
      </c>
      <c r="E225" s="132">
        <v>13680.8</v>
      </c>
      <c r="F225" s="140">
        <v>11972.6</v>
      </c>
      <c r="G225" s="140">
        <v>13680.8</v>
      </c>
      <c r="H225" s="140">
        <v>11972.6</v>
      </c>
      <c r="I225" s="144">
        <f t="shared" si="155"/>
        <v>1.7000000000000001E-2</v>
      </c>
      <c r="J225" s="153">
        <f t="shared" si="154"/>
        <v>0.875</v>
      </c>
      <c r="K225" s="195">
        <f t="shared" si="110"/>
        <v>1</v>
      </c>
      <c r="L225" s="185">
        <f t="shared" si="156"/>
        <v>-7215.2</v>
      </c>
      <c r="M225" s="186">
        <f t="shared" si="157"/>
        <v>0.624</v>
      </c>
      <c r="N225" s="194">
        <f t="shared" si="158"/>
        <v>-1708.2</v>
      </c>
    </row>
    <row r="226" spans="1:14" s="21" customFormat="1" ht="40.5" x14ac:dyDescent="0.2">
      <c r="A226" s="69">
        <v>1400</v>
      </c>
      <c r="B226" s="66" t="s">
        <v>141</v>
      </c>
      <c r="C226" s="155">
        <f>C227</f>
        <v>174007.1</v>
      </c>
      <c r="D226" s="155">
        <f>D227</f>
        <v>174007.1</v>
      </c>
      <c r="E226" s="155">
        <f t="shared" ref="E226" si="165">E227</f>
        <v>70400</v>
      </c>
      <c r="F226" s="65">
        <f>F227</f>
        <v>71000</v>
      </c>
      <c r="G226" s="65">
        <f>G227</f>
        <v>70400</v>
      </c>
      <c r="H226" s="65">
        <f>H227</f>
        <v>71000</v>
      </c>
      <c r="I226" s="64">
        <f t="shared" si="155"/>
        <v>0.10199999999999999</v>
      </c>
      <c r="J226" s="153">
        <f t="shared" si="154"/>
        <v>1.0089999999999999</v>
      </c>
      <c r="K226" s="153">
        <f t="shared" si="110"/>
        <v>1</v>
      </c>
      <c r="L226" s="154">
        <f t="shared" si="156"/>
        <v>-103007.1</v>
      </c>
      <c r="M226" s="153">
        <f t="shared" si="157"/>
        <v>0.40799999999999997</v>
      </c>
      <c r="N226" s="155">
        <f t="shared" si="158"/>
        <v>600</v>
      </c>
    </row>
    <row r="227" spans="1:14" s="30" customFormat="1" x14ac:dyDescent="0.2">
      <c r="A227" s="12" t="s">
        <v>140</v>
      </c>
      <c r="B227" s="26" t="s">
        <v>142</v>
      </c>
      <c r="C227" s="132">
        <v>174007.1</v>
      </c>
      <c r="D227" s="132">
        <v>174007.1</v>
      </c>
      <c r="E227" s="132">
        <v>70400</v>
      </c>
      <c r="F227" s="140">
        <v>71000</v>
      </c>
      <c r="G227" s="140">
        <v>70400</v>
      </c>
      <c r="H227" s="140">
        <v>71000</v>
      </c>
      <c r="I227" s="144">
        <f t="shared" si="155"/>
        <v>0.10199999999999999</v>
      </c>
      <c r="J227" s="153">
        <f t="shared" si="154"/>
        <v>1.0089999999999999</v>
      </c>
      <c r="K227" s="195">
        <f t="shared" si="110"/>
        <v>1</v>
      </c>
      <c r="L227" s="185">
        <f t="shared" si="156"/>
        <v>-103007.1</v>
      </c>
      <c r="M227" s="186">
        <f t="shared" si="157"/>
        <v>0.40799999999999997</v>
      </c>
      <c r="N227" s="194">
        <f t="shared" si="158"/>
        <v>600</v>
      </c>
    </row>
    <row r="228" spans="1:14" s="21" customFormat="1" ht="16.5" x14ac:dyDescent="0.2">
      <c r="A228" s="62"/>
      <c r="B228" s="70" t="s">
        <v>53</v>
      </c>
      <c r="C228" s="155">
        <f>C69+C84+C91+C122+C166+C184+C201+C204+C224+C226</f>
        <v>1387589.7</v>
      </c>
      <c r="D228" s="155">
        <f>D69+D84+D91+D122+D166+D184+D201+D204+D224+D226</f>
        <v>1558522.5</v>
      </c>
      <c r="E228" s="229">
        <f t="shared" ref="E228:G228" si="166">E69+E84+E91+E122+E166+E184+E201+E204+E224+E226</f>
        <v>850558.3</v>
      </c>
      <c r="F228" s="155">
        <f>F69+F84+F91+F122+F166+F184+F201+F204+F224+F226</f>
        <v>694535.9</v>
      </c>
      <c r="G228" s="155">
        <f t="shared" si="166"/>
        <v>850750.9</v>
      </c>
      <c r="H228" s="155">
        <f>H69+H84+H91+H122+H166+H184+H201+H204+H224+H226</f>
        <v>694535.9</v>
      </c>
      <c r="I228" s="64">
        <f t="shared" si="155"/>
        <v>1</v>
      </c>
      <c r="J228" s="153">
        <f t="shared" si="154"/>
        <v>0.81699999999999995</v>
      </c>
      <c r="K228" s="153">
        <f t="shared" si="110"/>
        <v>1</v>
      </c>
      <c r="L228" s="154">
        <f t="shared" si="156"/>
        <v>-863986.6</v>
      </c>
      <c r="M228" s="153">
        <f t="shared" si="157"/>
        <v>0.44600000000000001</v>
      </c>
      <c r="N228" s="155">
        <f t="shared" si="158"/>
        <v>-156215</v>
      </c>
    </row>
    <row r="229" spans="1:14" s="1" customFormat="1" ht="22.5" customHeight="1" x14ac:dyDescent="0.2">
      <c r="A229" s="25"/>
      <c r="B229" s="55"/>
      <c r="C229" s="174"/>
      <c r="D229" s="174"/>
      <c r="E229" s="174"/>
      <c r="F229" s="174"/>
      <c r="G229" s="174"/>
      <c r="H229" s="174"/>
      <c r="I229" s="156"/>
      <c r="J229" s="198"/>
      <c r="K229" s="153"/>
      <c r="L229" s="199"/>
      <c r="M229" s="198"/>
      <c r="N229" s="200"/>
    </row>
    <row r="230" spans="1:14" ht="21.75" customHeight="1" x14ac:dyDescent="0.2">
      <c r="A230" s="206"/>
      <c r="B230" s="207" t="s">
        <v>62</v>
      </c>
      <c r="C230" s="244">
        <f>C66-C228</f>
        <v>0</v>
      </c>
      <c r="D230" s="246">
        <f>D66-D228</f>
        <v>-1562.1</v>
      </c>
      <c r="E230" s="246">
        <f t="shared" ref="E230" si="167">E66-E228</f>
        <v>-222022.39999999999</v>
      </c>
      <c r="F230" s="246">
        <f>F66-F228</f>
        <v>13179.3</v>
      </c>
      <c r="G230" s="246">
        <f>G66-G228</f>
        <v>-1754.6</v>
      </c>
      <c r="H230" s="246">
        <f>H66-H228</f>
        <v>9732.4</v>
      </c>
      <c r="I230" s="234">
        <f>H230/H6</f>
        <v>2.5000000000000001E-2</v>
      </c>
      <c r="J230" s="238">
        <f>H230/E230</f>
        <v>-4.3999999999999997E-2</v>
      </c>
      <c r="K230" s="248">
        <f>H230/F230</f>
        <v>0.73799999999999999</v>
      </c>
      <c r="L230" s="236">
        <f>H230-D230</f>
        <v>11294.5</v>
      </c>
      <c r="M230" s="238">
        <f>H230/D230</f>
        <v>-6.23</v>
      </c>
      <c r="N230" s="241">
        <f>H230-G230</f>
        <v>11487</v>
      </c>
    </row>
    <row r="231" spans="1:14" ht="18.75" customHeight="1" x14ac:dyDescent="0.2">
      <c r="A231" s="206"/>
      <c r="B231" s="207" t="s">
        <v>63</v>
      </c>
      <c r="C231" s="245"/>
      <c r="D231" s="247"/>
      <c r="E231" s="247"/>
      <c r="F231" s="247"/>
      <c r="G231" s="247"/>
      <c r="H231" s="247"/>
      <c r="I231" s="235"/>
      <c r="J231" s="239"/>
      <c r="K231" s="249"/>
      <c r="L231" s="237"/>
      <c r="M231" s="239"/>
      <c r="N231" s="242"/>
    </row>
    <row r="232" spans="1:14" ht="30" customHeight="1" x14ac:dyDescent="0.2">
      <c r="A232" s="206"/>
      <c r="B232" s="207" t="s">
        <v>64</v>
      </c>
      <c r="C232" s="208">
        <f>C233+C236</f>
        <v>0</v>
      </c>
      <c r="D232" s="97">
        <f>D233+D236</f>
        <v>1562.1</v>
      </c>
      <c r="E232" s="97">
        <f t="shared" ref="E232" si="168">E233+E236</f>
        <v>222022.39999999999</v>
      </c>
      <c r="F232" s="97">
        <f>F233+F236</f>
        <v>-13179.3</v>
      </c>
      <c r="G232" s="97">
        <f>G233+G236</f>
        <v>1754.6</v>
      </c>
      <c r="H232" s="97">
        <f>H233+H236</f>
        <v>-9732.4</v>
      </c>
      <c r="I232" s="164">
        <f>H232/H6</f>
        <v>-2.5000000000000001E-2</v>
      </c>
      <c r="J232" s="201">
        <f>H232/E232</f>
        <v>-4.3999999999999997E-2</v>
      </c>
      <c r="K232" s="153">
        <f>H232/F232</f>
        <v>0.73799999999999999</v>
      </c>
      <c r="L232" s="154">
        <f t="shared" ref="L232:L238" si="169">H232-D232</f>
        <v>-11294.5</v>
      </c>
      <c r="M232" s="153">
        <f>H232/D232</f>
        <v>-6.23</v>
      </c>
      <c r="N232" s="155">
        <f>H232-G232</f>
        <v>-11487</v>
      </c>
    </row>
    <row r="233" spans="1:14" ht="29.25" hidden="1" customHeight="1" x14ac:dyDescent="0.2">
      <c r="A233" s="209" t="s">
        <v>78</v>
      </c>
      <c r="B233" s="210" t="s">
        <v>79</v>
      </c>
      <c r="C233" s="203">
        <f>C234+C235</f>
        <v>0</v>
      </c>
      <c r="D233" s="98">
        <v>0</v>
      </c>
      <c r="E233" s="98">
        <f>E234+E235</f>
        <v>0</v>
      </c>
      <c r="F233" s="98">
        <f>F234+F235</f>
        <v>0</v>
      </c>
      <c r="G233" s="98">
        <f>G234+G235</f>
        <v>0</v>
      </c>
      <c r="H233" s="98">
        <f>H234+H235</f>
        <v>0</v>
      </c>
      <c r="I233" s="164">
        <v>0</v>
      </c>
      <c r="J233" s="201">
        <v>0</v>
      </c>
      <c r="K233" s="153">
        <v>0</v>
      </c>
      <c r="L233" s="155">
        <v>0</v>
      </c>
      <c r="M233" s="153">
        <v>0</v>
      </c>
      <c r="N233" s="155">
        <f>H233-G233</f>
        <v>0</v>
      </c>
    </row>
    <row r="234" spans="1:14" s="30" customFormat="1" ht="27.75" hidden="1" customHeight="1" x14ac:dyDescent="0.2">
      <c r="A234" s="211" t="s">
        <v>74</v>
      </c>
      <c r="B234" s="212" t="s">
        <v>75</v>
      </c>
      <c r="C234" s="87">
        <v>198500</v>
      </c>
      <c r="D234" s="87">
        <v>278500</v>
      </c>
      <c r="E234" s="87">
        <v>-118500</v>
      </c>
      <c r="F234" s="87">
        <v>80000</v>
      </c>
      <c r="G234" s="87">
        <v>118500</v>
      </c>
      <c r="H234" s="87">
        <v>278500</v>
      </c>
      <c r="I234" s="205">
        <v>0</v>
      </c>
      <c r="J234" s="202">
        <f t="shared" ref="J234:J238" si="170">H234/E234</f>
        <v>-2.35</v>
      </c>
      <c r="K234" s="195">
        <f>H234/F234</f>
        <v>3.4809999999999999</v>
      </c>
      <c r="L234" s="191">
        <f t="shared" si="169"/>
        <v>0</v>
      </c>
      <c r="M234" s="195">
        <f>H234/D234</f>
        <v>1</v>
      </c>
      <c r="N234" s="196">
        <f>H234-G234</f>
        <v>160000</v>
      </c>
    </row>
    <row r="235" spans="1:14" s="30" customFormat="1" ht="33" hidden="1" customHeight="1" x14ac:dyDescent="0.2">
      <c r="A235" s="211" t="s">
        <v>76</v>
      </c>
      <c r="B235" s="212" t="s">
        <v>77</v>
      </c>
      <c r="C235" s="87">
        <v>-198500</v>
      </c>
      <c r="D235" s="87">
        <v>-278500</v>
      </c>
      <c r="E235" s="87">
        <v>118500</v>
      </c>
      <c r="F235" s="87">
        <v>-80000</v>
      </c>
      <c r="G235" s="87">
        <v>-118500</v>
      </c>
      <c r="H235" s="87">
        <v>-278500</v>
      </c>
      <c r="I235" s="205">
        <v>0</v>
      </c>
      <c r="J235" s="202">
        <f t="shared" si="170"/>
        <v>-2.35</v>
      </c>
      <c r="K235" s="195">
        <f>H235/F235</f>
        <v>3.4809999999999999</v>
      </c>
      <c r="L235" s="191">
        <f t="shared" si="169"/>
        <v>0</v>
      </c>
      <c r="M235" s="195">
        <f>H235/D235</f>
        <v>1</v>
      </c>
      <c r="N235" s="196">
        <f>H235-G235</f>
        <v>-160000</v>
      </c>
    </row>
    <row r="236" spans="1:14" ht="27.75" hidden="1" customHeight="1" x14ac:dyDescent="0.2">
      <c r="A236" s="209" t="s">
        <v>80</v>
      </c>
      <c r="B236" s="210" t="s">
        <v>81</v>
      </c>
      <c r="C236" s="203">
        <f>C237+C238</f>
        <v>0</v>
      </c>
      <c r="D236" s="203">
        <f>D237+D238</f>
        <v>1562.1</v>
      </c>
      <c r="E236" s="203">
        <f t="shared" ref="E236:F236" si="171">E237+E238</f>
        <v>222022.39999999999</v>
      </c>
      <c r="F236" s="203">
        <f t="shared" si="171"/>
        <v>-13179.3</v>
      </c>
      <c r="G236" s="203">
        <f>G237+G238</f>
        <v>1754.6</v>
      </c>
      <c r="H236" s="203">
        <f>H237+H238</f>
        <v>-9732.4</v>
      </c>
      <c r="I236" s="204">
        <f>H236/H232</f>
        <v>1</v>
      </c>
      <c r="J236" s="201">
        <f t="shared" si="170"/>
        <v>-4.3999999999999997E-2</v>
      </c>
      <c r="K236" s="153">
        <f t="shared" ref="K236:K238" si="172">H236/F236</f>
        <v>0.73799999999999999</v>
      </c>
      <c r="L236" s="154">
        <f t="shared" si="169"/>
        <v>-11294.5</v>
      </c>
      <c r="M236" s="153">
        <f>H236/D236</f>
        <v>-6.23</v>
      </c>
      <c r="N236" s="193">
        <f>H236-G236</f>
        <v>-11487</v>
      </c>
    </row>
    <row r="237" spans="1:14" ht="26.25" hidden="1" customHeight="1" x14ac:dyDescent="0.2">
      <c r="A237" s="79" t="s">
        <v>82</v>
      </c>
      <c r="B237" s="80" t="s">
        <v>49</v>
      </c>
      <c r="C237" s="87">
        <f>-(C66+C234)</f>
        <v>-1586089.7</v>
      </c>
      <c r="D237" s="87">
        <f t="shared" ref="D237:F237" si="173">-(D66+D234)</f>
        <v>-1835460.4</v>
      </c>
      <c r="E237" s="87">
        <f t="shared" si="173"/>
        <v>-510035.9</v>
      </c>
      <c r="F237" s="87">
        <f t="shared" si="173"/>
        <v>-787715.2</v>
      </c>
      <c r="G237" s="87">
        <v>-987882.1</v>
      </c>
      <c r="H237" s="87">
        <v>-986160.9</v>
      </c>
      <c r="I237" s="205">
        <v>0</v>
      </c>
      <c r="J237" s="202">
        <v>0</v>
      </c>
      <c r="K237" s="195">
        <v>0</v>
      </c>
      <c r="L237" s="185">
        <f t="shared" si="169"/>
        <v>849299.5</v>
      </c>
      <c r="M237" s="186">
        <f>H237/D237</f>
        <v>0.53700000000000003</v>
      </c>
      <c r="N237" s="194">
        <f>-(N66)</f>
        <v>144728</v>
      </c>
    </row>
    <row r="238" spans="1:14" ht="27" hidden="1" customHeight="1" x14ac:dyDescent="0.2">
      <c r="A238" s="79" t="s">
        <v>83</v>
      </c>
      <c r="B238" s="80" t="s">
        <v>50</v>
      </c>
      <c r="C238" s="87">
        <f>C228+(-C235)</f>
        <v>1586089.7</v>
      </c>
      <c r="D238" s="87">
        <f t="shared" ref="D238:F238" si="174">D228+(-D235)</f>
        <v>1837022.5</v>
      </c>
      <c r="E238" s="87">
        <f t="shared" si="174"/>
        <v>732058.3</v>
      </c>
      <c r="F238" s="87">
        <f t="shared" si="174"/>
        <v>774535.9</v>
      </c>
      <c r="G238" s="87">
        <v>989636.7</v>
      </c>
      <c r="H238" s="87">
        <v>976428.5</v>
      </c>
      <c r="I238" s="205">
        <v>0</v>
      </c>
      <c r="J238" s="202">
        <f t="shared" si="170"/>
        <v>1.3340000000000001</v>
      </c>
      <c r="K238" s="195">
        <f t="shared" si="172"/>
        <v>1.2609999999999999</v>
      </c>
      <c r="L238" s="185">
        <f t="shared" si="169"/>
        <v>-860594</v>
      </c>
      <c r="M238" s="186">
        <f>H238/D238</f>
        <v>0.53200000000000003</v>
      </c>
      <c r="N238" s="194">
        <f>N228</f>
        <v>-156215</v>
      </c>
    </row>
    <row r="239" spans="1:14" x14ac:dyDescent="0.2">
      <c r="B239" s="179"/>
      <c r="C239" s="227"/>
      <c r="D239" s="227"/>
      <c r="E239" s="227"/>
      <c r="F239" s="227"/>
      <c r="G239" s="227"/>
      <c r="H239" s="227"/>
      <c r="I239" s="227"/>
      <c r="J239" s="227"/>
      <c r="K239" s="227"/>
      <c r="L239" s="227"/>
      <c r="M239" s="227"/>
      <c r="N239" s="227"/>
    </row>
    <row r="240" spans="1:14" x14ac:dyDescent="0.2">
      <c r="A240" s="53"/>
      <c r="C240" s="226"/>
      <c r="D240" s="24"/>
      <c r="E240" s="24"/>
      <c r="F240" s="24"/>
      <c r="I240" s="51" t="s">
        <v>9</v>
      </c>
      <c r="J240" s="51"/>
      <c r="K240" s="51"/>
    </row>
    <row r="241" spans="2:14" x14ac:dyDescent="0.2">
      <c r="B241" s="56"/>
      <c r="C241" s="57"/>
      <c r="D241" s="58"/>
      <c r="E241" s="58"/>
      <c r="F241" s="58"/>
      <c r="G241" s="58"/>
      <c r="H241" s="58"/>
      <c r="I241" s="59"/>
      <c r="J241" s="59"/>
      <c r="K241" s="59"/>
      <c r="L241" s="59"/>
      <c r="M241" s="51" t="s">
        <v>9</v>
      </c>
      <c r="N241" s="2"/>
    </row>
    <row r="242" spans="2:14" x14ac:dyDescent="0.2">
      <c r="B242" s="60"/>
      <c r="C242" s="60"/>
      <c r="D242" s="58"/>
      <c r="E242" s="58"/>
      <c r="F242" s="58"/>
      <c r="G242" s="59"/>
      <c r="H242" s="59"/>
      <c r="I242" s="59"/>
      <c r="J242" s="59"/>
      <c r="K242" s="59"/>
      <c r="L242" s="61"/>
    </row>
    <row r="243" spans="2:14" x14ac:dyDescent="0.2">
      <c r="I243" s="51"/>
      <c r="J243" s="51"/>
      <c r="K243" s="51"/>
    </row>
    <row r="244" spans="2:14" x14ac:dyDescent="0.2">
      <c r="I244" s="51"/>
      <c r="J244" s="51"/>
      <c r="K244" s="51"/>
    </row>
    <row r="245" spans="2:14" x14ac:dyDescent="0.2">
      <c r="I245" s="51"/>
      <c r="J245" s="51"/>
      <c r="K245" s="51"/>
    </row>
    <row r="246" spans="2:14" x14ac:dyDescent="0.2">
      <c r="G246" s="232"/>
      <c r="I246" s="51"/>
      <c r="J246" s="51"/>
      <c r="K246" s="51"/>
    </row>
    <row r="247" spans="2:14" x14ac:dyDescent="0.2">
      <c r="I247" s="51"/>
      <c r="J247" s="51"/>
      <c r="K247" s="51"/>
    </row>
    <row r="248" spans="2:14" x14ac:dyDescent="0.2">
      <c r="I248" s="51"/>
      <c r="J248" s="51"/>
      <c r="K248" s="51"/>
    </row>
    <row r="249" spans="2:14" x14ac:dyDescent="0.2">
      <c r="I249" s="51"/>
      <c r="J249" s="51"/>
      <c r="K249" s="51"/>
    </row>
    <row r="250" spans="2:14" x14ac:dyDescent="0.2">
      <c r="I250" s="51"/>
      <c r="J250" s="51"/>
      <c r="K250" s="51"/>
    </row>
    <row r="251" spans="2:14" x14ac:dyDescent="0.2">
      <c r="I251" s="51"/>
      <c r="J251" s="51"/>
      <c r="K251" s="51"/>
    </row>
    <row r="252" spans="2:14" x14ac:dyDescent="0.2">
      <c r="I252" s="51"/>
      <c r="J252" s="51"/>
      <c r="K252" s="51"/>
    </row>
    <row r="253" spans="2:14" x14ac:dyDescent="0.2">
      <c r="I253" s="51"/>
      <c r="J253" s="51"/>
      <c r="K253" s="51"/>
    </row>
    <row r="254" spans="2:14" x14ac:dyDescent="0.2">
      <c r="I254" s="51"/>
      <c r="J254" s="51"/>
      <c r="K254" s="51"/>
    </row>
    <row r="255" spans="2:14" x14ac:dyDescent="0.2">
      <c r="I255" s="51"/>
      <c r="J255" s="51"/>
      <c r="K255" s="51"/>
    </row>
    <row r="256" spans="2:14" x14ac:dyDescent="0.2">
      <c r="I256" s="51"/>
      <c r="J256" s="51"/>
      <c r="K256" s="51"/>
    </row>
    <row r="257" spans="9:11" x14ac:dyDescent="0.2">
      <c r="I257" s="51"/>
      <c r="J257" s="51"/>
      <c r="K257" s="51"/>
    </row>
    <row r="258" spans="9:11" x14ac:dyDescent="0.2">
      <c r="I258" s="51"/>
      <c r="J258" s="51"/>
      <c r="K258" s="51"/>
    </row>
    <row r="259" spans="9:11" x14ac:dyDescent="0.2">
      <c r="I259" s="51"/>
      <c r="J259" s="51"/>
      <c r="K259" s="51"/>
    </row>
    <row r="260" spans="9:11" x14ac:dyDescent="0.2">
      <c r="I260" s="51"/>
      <c r="J260" s="51"/>
      <c r="K260" s="51"/>
    </row>
    <row r="261" spans="9:11" x14ac:dyDescent="0.2">
      <c r="I261" s="51"/>
      <c r="J261" s="51"/>
      <c r="K261" s="51"/>
    </row>
    <row r="262" spans="9:11" x14ac:dyDescent="0.2">
      <c r="I262" s="51"/>
      <c r="J262" s="51"/>
      <c r="K262" s="51"/>
    </row>
    <row r="263" spans="9:11" x14ac:dyDescent="0.2">
      <c r="I263" s="51"/>
      <c r="J263" s="51"/>
      <c r="K263" s="51"/>
    </row>
    <row r="264" spans="9:11" x14ac:dyDescent="0.2">
      <c r="I264" s="51"/>
      <c r="J264" s="51"/>
      <c r="K264" s="51"/>
    </row>
    <row r="265" spans="9:11" x14ac:dyDescent="0.2">
      <c r="I265" s="51"/>
      <c r="J265" s="51"/>
      <c r="K265" s="51"/>
    </row>
    <row r="266" spans="9:11" x14ac:dyDescent="0.2">
      <c r="I266" s="51"/>
      <c r="J266" s="51"/>
      <c r="K266" s="51"/>
    </row>
    <row r="267" spans="9:11" x14ac:dyDescent="0.2">
      <c r="I267" s="51"/>
      <c r="J267" s="51"/>
      <c r="K267" s="51"/>
    </row>
    <row r="268" spans="9:11" x14ac:dyDescent="0.2">
      <c r="I268" s="51"/>
      <c r="J268" s="51"/>
      <c r="K268" s="51"/>
    </row>
    <row r="269" spans="9:11" x14ac:dyDescent="0.2">
      <c r="I269" s="51"/>
      <c r="J269" s="51"/>
      <c r="K269" s="51"/>
    </row>
    <row r="270" spans="9:11" x14ac:dyDescent="0.2">
      <c r="I270" s="51"/>
      <c r="J270" s="51"/>
      <c r="K270" s="51"/>
    </row>
    <row r="271" spans="9:11" x14ac:dyDescent="0.2">
      <c r="I271" s="51"/>
      <c r="J271" s="51"/>
      <c r="K271" s="51"/>
    </row>
    <row r="272" spans="9:11" x14ac:dyDescent="0.2">
      <c r="I272" s="51"/>
      <c r="J272" s="51"/>
      <c r="K272" s="51"/>
    </row>
    <row r="273" spans="9:11" x14ac:dyDescent="0.2">
      <c r="I273" s="51"/>
      <c r="J273" s="51"/>
      <c r="K273" s="51"/>
    </row>
    <row r="274" spans="9:11" x14ac:dyDescent="0.2">
      <c r="I274" s="51"/>
      <c r="J274" s="51"/>
      <c r="K274" s="51"/>
    </row>
    <row r="275" spans="9:11" x14ac:dyDescent="0.2">
      <c r="I275" s="51"/>
      <c r="J275" s="51"/>
      <c r="K275" s="51"/>
    </row>
    <row r="276" spans="9:11" x14ac:dyDescent="0.2">
      <c r="I276" s="51"/>
      <c r="J276" s="51"/>
      <c r="K276" s="51"/>
    </row>
    <row r="277" spans="9:11" x14ac:dyDescent="0.2">
      <c r="I277" s="51"/>
      <c r="J277" s="51"/>
      <c r="K277" s="51"/>
    </row>
    <row r="278" spans="9:11" x14ac:dyDescent="0.2">
      <c r="I278" s="51"/>
      <c r="J278" s="51"/>
      <c r="K278" s="51"/>
    </row>
    <row r="279" spans="9:11" x14ac:dyDescent="0.2">
      <c r="I279" s="51"/>
      <c r="J279" s="51"/>
      <c r="K279" s="51"/>
    </row>
    <row r="280" spans="9:11" x14ac:dyDescent="0.2">
      <c r="I280" s="51"/>
      <c r="J280" s="51"/>
      <c r="K280" s="51"/>
    </row>
    <row r="281" spans="9:11" x14ac:dyDescent="0.2">
      <c r="I281" s="51"/>
      <c r="J281" s="51"/>
      <c r="K281" s="51"/>
    </row>
    <row r="282" spans="9:11" x14ac:dyDescent="0.2">
      <c r="I282" s="51"/>
      <c r="J282" s="51"/>
      <c r="K282" s="51"/>
    </row>
    <row r="283" spans="9:11" x14ac:dyDescent="0.2">
      <c r="I283" s="51"/>
      <c r="J283" s="51"/>
      <c r="K283" s="51"/>
    </row>
    <row r="284" spans="9:11" x14ac:dyDescent="0.2">
      <c r="I284" s="51"/>
      <c r="J284" s="51"/>
      <c r="K284" s="51"/>
    </row>
    <row r="285" spans="9:11" x14ac:dyDescent="0.2">
      <c r="I285" s="51"/>
      <c r="J285" s="51"/>
      <c r="K285" s="51"/>
    </row>
    <row r="286" spans="9:11" x14ac:dyDescent="0.2">
      <c r="I286" s="51"/>
      <c r="J286" s="51"/>
      <c r="K286" s="51"/>
    </row>
    <row r="287" spans="9:11" x14ac:dyDescent="0.2">
      <c r="I287" s="51"/>
      <c r="J287" s="51"/>
      <c r="K287" s="51"/>
    </row>
    <row r="288" spans="9:11" x14ac:dyDescent="0.2">
      <c r="I288" s="51"/>
      <c r="J288" s="51"/>
      <c r="K288" s="51"/>
    </row>
    <row r="289" spans="9:11" x14ac:dyDescent="0.2">
      <c r="I289" s="51"/>
      <c r="J289" s="51"/>
      <c r="K289" s="51"/>
    </row>
    <row r="290" spans="9:11" x14ac:dyDescent="0.2">
      <c r="I290" s="51"/>
      <c r="J290" s="51"/>
      <c r="K290" s="51"/>
    </row>
    <row r="291" spans="9:11" x14ac:dyDescent="0.2">
      <c r="I291" s="51"/>
      <c r="J291" s="51"/>
      <c r="K291" s="51"/>
    </row>
    <row r="292" spans="9:11" x14ac:dyDescent="0.2">
      <c r="I292" s="51"/>
      <c r="J292" s="51"/>
      <c r="K292" s="51"/>
    </row>
    <row r="293" spans="9:11" x14ac:dyDescent="0.2">
      <c r="I293" s="51"/>
      <c r="J293" s="51"/>
      <c r="K293" s="51"/>
    </row>
    <row r="294" spans="9:11" x14ac:dyDescent="0.2">
      <c r="I294" s="51"/>
      <c r="J294" s="51"/>
      <c r="K294" s="51"/>
    </row>
    <row r="295" spans="9:11" x14ac:dyDescent="0.2">
      <c r="I295" s="51"/>
      <c r="J295" s="51"/>
      <c r="K295" s="51"/>
    </row>
    <row r="296" spans="9:11" x14ac:dyDescent="0.2">
      <c r="I296" s="51"/>
      <c r="J296" s="51"/>
      <c r="K296" s="51"/>
    </row>
    <row r="297" spans="9:11" x14ac:dyDescent="0.2">
      <c r="I297" s="51"/>
      <c r="J297" s="51"/>
      <c r="K297" s="51"/>
    </row>
    <row r="298" spans="9:11" x14ac:dyDescent="0.2">
      <c r="I298" s="51"/>
      <c r="J298" s="51"/>
      <c r="K298" s="51"/>
    </row>
    <row r="299" spans="9:11" x14ac:dyDescent="0.2">
      <c r="I299" s="51"/>
      <c r="J299" s="51"/>
      <c r="K299" s="51"/>
    </row>
    <row r="300" spans="9:11" x14ac:dyDescent="0.2">
      <c r="I300" s="51"/>
      <c r="J300" s="51"/>
      <c r="K300" s="51"/>
    </row>
    <row r="301" spans="9:11" x14ac:dyDescent="0.2">
      <c r="I301" s="51"/>
      <c r="J301" s="51"/>
      <c r="K301" s="51"/>
    </row>
    <row r="302" spans="9:11" x14ac:dyDescent="0.2">
      <c r="I302" s="51"/>
      <c r="J302" s="51"/>
      <c r="K302" s="51"/>
    </row>
    <row r="303" spans="9:11" x14ac:dyDescent="0.2">
      <c r="I303" s="51"/>
      <c r="J303" s="51"/>
      <c r="K303" s="51"/>
    </row>
    <row r="304" spans="9:11" x14ac:dyDescent="0.2">
      <c r="I304" s="51"/>
      <c r="J304" s="51"/>
      <c r="K304" s="51"/>
    </row>
    <row r="305" spans="9:11" x14ac:dyDescent="0.2">
      <c r="I305" s="51"/>
      <c r="J305" s="51"/>
      <c r="K305" s="51"/>
    </row>
    <row r="306" spans="9:11" x14ac:dyDescent="0.2">
      <c r="I306" s="51"/>
      <c r="J306" s="51"/>
      <c r="K306" s="51"/>
    </row>
    <row r="307" spans="9:11" x14ac:dyDescent="0.2">
      <c r="I307" s="51"/>
      <c r="J307" s="51"/>
      <c r="K307" s="51"/>
    </row>
    <row r="308" spans="9:11" x14ac:dyDescent="0.2">
      <c r="I308" s="51"/>
      <c r="J308" s="51"/>
      <c r="K308" s="51"/>
    </row>
    <row r="309" spans="9:11" x14ac:dyDescent="0.2">
      <c r="I309" s="51"/>
      <c r="J309" s="51"/>
      <c r="K309" s="51"/>
    </row>
    <row r="310" spans="9:11" x14ac:dyDescent="0.2">
      <c r="I310" s="51"/>
      <c r="J310" s="51"/>
      <c r="K310" s="51"/>
    </row>
    <row r="311" spans="9:11" x14ac:dyDescent="0.2">
      <c r="I311" s="51"/>
      <c r="J311" s="51"/>
      <c r="K311" s="51"/>
    </row>
    <row r="312" spans="9:11" x14ac:dyDescent="0.2">
      <c r="I312" s="51"/>
      <c r="J312" s="51"/>
      <c r="K312" s="51"/>
    </row>
    <row r="313" spans="9:11" x14ac:dyDescent="0.2">
      <c r="I313" s="51"/>
      <c r="J313" s="51"/>
      <c r="K313" s="51"/>
    </row>
    <row r="314" spans="9:11" x14ac:dyDescent="0.2">
      <c r="I314" s="51"/>
      <c r="J314" s="51"/>
      <c r="K314" s="51"/>
    </row>
    <row r="315" spans="9:11" x14ac:dyDescent="0.2">
      <c r="I315" s="51"/>
      <c r="J315" s="51"/>
      <c r="K315" s="51"/>
    </row>
    <row r="316" spans="9:11" x14ac:dyDescent="0.2">
      <c r="I316" s="51"/>
      <c r="J316" s="51"/>
      <c r="K316" s="51"/>
    </row>
    <row r="317" spans="9:11" x14ac:dyDescent="0.2">
      <c r="I317" s="51"/>
      <c r="J317" s="51"/>
      <c r="K317" s="51"/>
    </row>
    <row r="318" spans="9:11" x14ac:dyDescent="0.2">
      <c r="I318" s="51"/>
      <c r="J318" s="51"/>
      <c r="K318" s="51"/>
    </row>
    <row r="319" spans="9:11" x14ac:dyDescent="0.2">
      <c r="I319" s="51"/>
      <c r="J319" s="51"/>
      <c r="K319" s="51"/>
    </row>
    <row r="320" spans="9:11" x14ac:dyDescent="0.2">
      <c r="I320" s="51"/>
      <c r="J320" s="51"/>
      <c r="K320" s="51"/>
    </row>
    <row r="321" spans="9:11" x14ac:dyDescent="0.2">
      <c r="I321" s="51"/>
      <c r="J321" s="51"/>
      <c r="K321" s="51"/>
    </row>
    <row r="322" spans="9:11" x14ac:dyDescent="0.2">
      <c r="I322" s="51"/>
      <c r="J322" s="51"/>
      <c r="K322" s="51"/>
    </row>
    <row r="323" spans="9:11" x14ac:dyDescent="0.2">
      <c r="I323" s="51"/>
      <c r="J323" s="51"/>
      <c r="K323" s="51"/>
    </row>
    <row r="324" spans="9:11" x14ac:dyDescent="0.2">
      <c r="I324" s="51"/>
      <c r="J324" s="51"/>
      <c r="K324" s="51"/>
    </row>
    <row r="325" spans="9:11" x14ac:dyDescent="0.2">
      <c r="I325" s="51"/>
      <c r="J325" s="51"/>
      <c r="K325" s="51"/>
    </row>
    <row r="326" spans="9:11" x14ac:dyDescent="0.2">
      <c r="I326" s="51"/>
      <c r="J326" s="51"/>
      <c r="K326" s="51"/>
    </row>
    <row r="327" spans="9:11" x14ac:dyDescent="0.2">
      <c r="I327" s="51"/>
      <c r="J327" s="51"/>
      <c r="K327" s="51"/>
    </row>
    <row r="328" spans="9:11" x14ac:dyDescent="0.2">
      <c r="I328" s="51"/>
      <c r="J328" s="51"/>
      <c r="K328" s="51"/>
    </row>
    <row r="329" spans="9:11" x14ac:dyDescent="0.2">
      <c r="I329" s="51"/>
      <c r="J329" s="51"/>
      <c r="K329" s="51"/>
    </row>
    <row r="330" spans="9:11" x14ac:dyDescent="0.2">
      <c r="I330" s="51"/>
      <c r="J330" s="51"/>
      <c r="K330" s="51"/>
    </row>
    <row r="331" spans="9:11" x14ac:dyDescent="0.2">
      <c r="I331" s="51"/>
      <c r="J331" s="51"/>
      <c r="K331" s="51"/>
    </row>
    <row r="332" spans="9:11" x14ac:dyDescent="0.2">
      <c r="I332" s="51"/>
      <c r="J332" s="51"/>
      <c r="K332" s="51"/>
    </row>
    <row r="333" spans="9:11" x14ac:dyDescent="0.2">
      <c r="I333" s="51"/>
      <c r="J333" s="51"/>
      <c r="K333" s="51"/>
    </row>
    <row r="334" spans="9:11" x14ac:dyDescent="0.2">
      <c r="I334" s="51"/>
      <c r="J334" s="51"/>
      <c r="K334" s="51"/>
    </row>
    <row r="335" spans="9:11" x14ac:dyDescent="0.2">
      <c r="I335" s="51"/>
      <c r="J335" s="51"/>
      <c r="K335" s="51"/>
    </row>
    <row r="336" spans="9:11" x14ac:dyDescent="0.2">
      <c r="I336" s="51"/>
      <c r="J336" s="51"/>
      <c r="K336" s="51"/>
    </row>
    <row r="337" spans="9:11" x14ac:dyDescent="0.2">
      <c r="I337" s="51"/>
      <c r="J337" s="51"/>
      <c r="K337" s="51"/>
    </row>
    <row r="338" spans="9:11" x14ac:dyDescent="0.2">
      <c r="I338" s="51"/>
      <c r="J338" s="51"/>
      <c r="K338" s="51"/>
    </row>
    <row r="339" spans="9:11" x14ac:dyDescent="0.2">
      <c r="I339" s="51"/>
      <c r="J339" s="51"/>
      <c r="K339" s="51"/>
    </row>
    <row r="340" spans="9:11" x14ac:dyDescent="0.2">
      <c r="I340" s="51"/>
      <c r="J340" s="51"/>
      <c r="K340" s="51"/>
    </row>
    <row r="341" spans="9:11" x14ac:dyDescent="0.2">
      <c r="I341" s="51"/>
      <c r="J341" s="51"/>
      <c r="K341" s="51"/>
    </row>
    <row r="342" spans="9:11" x14ac:dyDescent="0.2">
      <c r="I342" s="51"/>
      <c r="J342" s="51"/>
      <c r="K342" s="51"/>
    </row>
    <row r="343" spans="9:11" x14ac:dyDescent="0.2">
      <c r="I343" s="51"/>
      <c r="J343" s="51"/>
      <c r="K343" s="51"/>
    </row>
    <row r="344" spans="9:11" x14ac:dyDescent="0.2">
      <c r="I344" s="51"/>
      <c r="J344" s="51"/>
      <c r="K344" s="51"/>
    </row>
    <row r="345" spans="9:11" x14ac:dyDescent="0.2">
      <c r="I345" s="51"/>
      <c r="J345" s="51"/>
      <c r="K345" s="51"/>
    </row>
    <row r="346" spans="9:11" x14ac:dyDescent="0.2">
      <c r="I346" s="51"/>
      <c r="J346" s="51"/>
      <c r="K346" s="51"/>
    </row>
    <row r="347" spans="9:11" x14ac:dyDescent="0.2">
      <c r="I347" s="51"/>
      <c r="J347" s="51"/>
      <c r="K347" s="51"/>
    </row>
    <row r="348" spans="9:11" x14ac:dyDescent="0.2">
      <c r="I348" s="51"/>
      <c r="J348" s="51"/>
      <c r="K348" s="51"/>
    </row>
    <row r="349" spans="9:11" x14ac:dyDescent="0.2">
      <c r="I349" s="51"/>
      <c r="J349" s="51"/>
      <c r="K349" s="51"/>
    </row>
    <row r="350" spans="9:11" x14ac:dyDescent="0.2">
      <c r="I350" s="51"/>
      <c r="J350" s="51"/>
      <c r="K350" s="51"/>
    </row>
    <row r="351" spans="9:11" x14ac:dyDescent="0.2">
      <c r="I351" s="51"/>
      <c r="J351" s="51"/>
      <c r="K351" s="51"/>
    </row>
    <row r="352" spans="9:11" x14ac:dyDescent="0.2">
      <c r="I352" s="51"/>
      <c r="J352" s="51"/>
      <c r="K352" s="51"/>
    </row>
    <row r="353" spans="9:11" x14ac:dyDescent="0.2">
      <c r="I353" s="51"/>
      <c r="J353" s="51"/>
      <c r="K353" s="51"/>
    </row>
    <row r="354" spans="9:11" x14ac:dyDescent="0.2">
      <c r="I354" s="51"/>
      <c r="J354" s="51"/>
      <c r="K354" s="51"/>
    </row>
    <row r="355" spans="9:11" x14ac:dyDescent="0.2">
      <c r="I355" s="51"/>
      <c r="J355" s="51"/>
      <c r="K355" s="51"/>
    </row>
    <row r="356" spans="9:11" x14ac:dyDescent="0.2">
      <c r="I356" s="51"/>
      <c r="J356" s="51"/>
      <c r="K356" s="51"/>
    </row>
    <row r="357" spans="9:11" x14ac:dyDescent="0.2">
      <c r="I357" s="51"/>
      <c r="J357" s="51"/>
      <c r="K357" s="51"/>
    </row>
    <row r="358" spans="9:11" x14ac:dyDescent="0.2">
      <c r="I358" s="51"/>
      <c r="J358" s="51"/>
      <c r="K358" s="51"/>
    </row>
    <row r="359" spans="9:11" x14ac:dyDescent="0.2">
      <c r="I359" s="51"/>
      <c r="J359" s="51"/>
      <c r="K359" s="51"/>
    </row>
    <row r="360" spans="9:11" x14ac:dyDescent="0.2">
      <c r="I360" s="51"/>
      <c r="J360" s="51"/>
      <c r="K360" s="51"/>
    </row>
    <row r="361" spans="9:11" x14ac:dyDescent="0.2">
      <c r="I361" s="51"/>
      <c r="J361" s="51"/>
      <c r="K361" s="51"/>
    </row>
    <row r="362" spans="9:11" x14ac:dyDescent="0.2">
      <c r="I362" s="51"/>
      <c r="J362" s="51"/>
      <c r="K362" s="51"/>
    </row>
    <row r="363" spans="9:11" x14ac:dyDescent="0.2">
      <c r="I363" s="51"/>
      <c r="J363" s="51"/>
      <c r="K363" s="51"/>
    </row>
    <row r="364" spans="9:11" x14ac:dyDescent="0.2">
      <c r="I364" s="51"/>
      <c r="J364" s="51"/>
      <c r="K364" s="51"/>
    </row>
    <row r="365" spans="9:11" x14ac:dyDescent="0.2">
      <c r="I365" s="51"/>
      <c r="J365" s="51"/>
      <c r="K365" s="51"/>
    </row>
    <row r="366" spans="9:11" x14ac:dyDescent="0.2">
      <c r="I366" s="51"/>
      <c r="J366" s="51"/>
      <c r="K366" s="51"/>
    </row>
    <row r="367" spans="9:11" x14ac:dyDescent="0.2">
      <c r="I367" s="51"/>
      <c r="J367" s="51"/>
      <c r="K367" s="51"/>
    </row>
    <row r="368" spans="9:11" x14ac:dyDescent="0.2">
      <c r="I368" s="51"/>
      <c r="J368" s="51"/>
      <c r="K368" s="51"/>
    </row>
    <row r="369" spans="9:11" x14ac:dyDescent="0.2">
      <c r="I369" s="51"/>
      <c r="J369" s="51"/>
      <c r="K369" s="51"/>
    </row>
    <row r="370" spans="9:11" x14ac:dyDescent="0.2">
      <c r="I370" s="51"/>
      <c r="J370" s="51"/>
      <c r="K370" s="51"/>
    </row>
    <row r="371" spans="9:11" x14ac:dyDescent="0.2">
      <c r="I371" s="51"/>
      <c r="J371" s="51"/>
      <c r="K371" s="51"/>
    </row>
    <row r="372" spans="9:11" x14ac:dyDescent="0.2">
      <c r="I372" s="51"/>
      <c r="J372" s="51"/>
      <c r="K372" s="51"/>
    </row>
    <row r="373" spans="9:11" x14ac:dyDescent="0.2">
      <c r="I373" s="51"/>
      <c r="J373" s="51"/>
      <c r="K373" s="51"/>
    </row>
    <row r="374" spans="9:11" x14ac:dyDescent="0.2">
      <c r="I374" s="51"/>
      <c r="J374" s="51"/>
      <c r="K374" s="51"/>
    </row>
    <row r="375" spans="9:11" x14ac:dyDescent="0.2">
      <c r="I375" s="51"/>
      <c r="J375" s="51"/>
      <c r="K375" s="51"/>
    </row>
    <row r="376" spans="9:11" x14ac:dyDescent="0.2">
      <c r="I376" s="51"/>
      <c r="J376" s="51"/>
      <c r="K376" s="51"/>
    </row>
    <row r="377" spans="9:11" x14ac:dyDescent="0.2">
      <c r="I377" s="51"/>
      <c r="J377" s="51"/>
      <c r="K377" s="51"/>
    </row>
    <row r="378" spans="9:11" x14ac:dyDescent="0.2">
      <c r="I378" s="51"/>
      <c r="J378" s="51"/>
      <c r="K378" s="51"/>
    </row>
    <row r="379" spans="9:11" x14ac:dyDescent="0.2">
      <c r="I379" s="51"/>
      <c r="J379" s="51"/>
      <c r="K379" s="51"/>
    </row>
    <row r="380" spans="9:11" x14ac:dyDescent="0.2">
      <c r="I380" s="51"/>
      <c r="J380" s="51"/>
      <c r="K380" s="51"/>
    </row>
    <row r="381" spans="9:11" x14ac:dyDescent="0.2">
      <c r="I381" s="51"/>
      <c r="J381" s="51"/>
      <c r="K381" s="51"/>
    </row>
    <row r="382" spans="9:11" x14ac:dyDescent="0.2">
      <c r="I382" s="51"/>
      <c r="J382" s="51"/>
      <c r="K382" s="51"/>
    </row>
    <row r="383" spans="9:11" x14ac:dyDescent="0.2">
      <c r="I383" s="51"/>
      <c r="J383" s="51"/>
      <c r="K383" s="51"/>
    </row>
    <row r="384" spans="9:11" x14ac:dyDescent="0.2">
      <c r="I384" s="51"/>
      <c r="J384" s="51"/>
      <c r="K384" s="51"/>
    </row>
    <row r="385" spans="9:11" x14ac:dyDescent="0.2">
      <c r="I385" s="51"/>
      <c r="J385" s="51"/>
      <c r="K385" s="51"/>
    </row>
    <row r="386" spans="9:11" x14ac:dyDescent="0.2">
      <c r="I386" s="51"/>
      <c r="J386" s="51"/>
      <c r="K386" s="51"/>
    </row>
    <row r="387" spans="9:11" x14ac:dyDescent="0.2">
      <c r="I387" s="51"/>
      <c r="J387" s="51"/>
      <c r="K387" s="51"/>
    </row>
    <row r="388" spans="9:11" x14ac:dyDescent="0.2">
      <c r="I388" s="51"/>
      <c r="J388" s="51"/>
      <c r="K388" s="51"/>
    </row>
    <row r="389" spans="9:11" x14ac:dyDescent="0.2">
      <c r="I389" s="51"/>
      <c r="J389" s="51"/>
      <c r="K389" s="51"/>
    </row>
    <row r="390" spans="9:11" x14ac:dyDescent="0.2">
      <c r="I390" s="51"/>
      <c r="J390" s="51"/>
      <c r="K390" s="51"/>
    </row>
    <row r="391" spans="9:11" x14ac:dyDescent="0.2">
      <c r="I391" s="51"/>
      <c r="J391" s="51"/>
      <c r="K391" s="51"/>
    </row>
    <row r="392" spans="9:11" x14ac:dyDescent="0.2">
      <c r="I392" s="51"/>
      <c r="J392" s="51"/>
      <c r="K392" s="51"/>
    </row>
    <row r="393" spans="9:11" x14ac:dyDescent="0.2">
      <c r="I393" s="51"/>
      <c r="J393" s="51"/>
      <c r="K393" s="51"/>
    </row>
    <row r="394" spans="9:11" x14ac:dyDescent="0.2">
      <c r="I394" s="51"/>
      <c r="J394" s="51"/>
      <c r="K394" s="51"/>
    </row>
    <row r="395" spans="9:11" x14ac:dyDescent="0.2">
      <c r="I395" s="51"/>
      <c r="J395" s="51"/>
      <c r="K395" s="51"/>
    </row>
    <row r="396" spans="9:11" x14ac:dyDescent="0.2">
      <c r="I396" s="51"/>
      <c r="J396" s="51"/>
      <c r="K396" s="51"/>
    </row>
    <row r="397" spans="9:11" x14ac:dyDescent="0.2">
      <c r="I397" s="51"/>
      <c r="J397" s="51"/>
      <c r="K397" s="51"/>
    </row>
    <row r="398" spans="9:11" x14ac:dyDescent="0.2">
      <c r="I398" s="51"/>
      <c r="J398" s="51"/>
      <c r="K398" s="51"/>
    </row>
    <row r="399" spans="9:11" x14ac:dyDescent="0.2">
      <c r="I399" s="51"/>
      <c r="J399" s="51"/>
      <c r="K399" s="51"/>
    </row>
    <row r="400" spans="9:11" x14ac:dyDescent="0.2">
      <c r="I400" s="51"/>
      <c r="J400" s="51"/>
      <c r="K400" s="51"/>
    </row>
    <row r="401" spans="9:11" x14ac:dyDescent="0.2">
      <c r="I401" s="51"/>
      <c r="J401" s="51"/>
      <c r="K401" s="51"/>
    </row>
    <row r="402" spans="9:11" x14ac:dyDescent="0.2">
      <c r="I402" s="51"/>
      <c r="J402" s="51"/>
      <c r="K402" s="51"/>
    </row>
    <row r="403" spans="9:11" x14ac:dyDescent="0.2">
      <c r="I403" s="51"/>
      <c r="J403" s="51"/>
      <c r="K403" s="51"/>
    </row>
    <row r="404" spans="9:11" x14ac:dyDescent="0.2">
      <c r="I404" s="51"/>
      <c r="J404" s="51"/>
      <c r="K404" s="51"/>
    </row>
    <row r="405" spans="9:11" x14ac:dyDescent="0.2">
      <c r="I405" s="51"/>
      <c r="J405" s="51"/>
      <c r="K405" s="51"/>
    </row>
    <row r="406" spans="9:11" x14ac:dyDescent="0.2">
      <c r="I406" s="51"/>
      <c r="J406" s="51"/>
      <c r="K406" s="51"/>
    </row>
    <row r="407" spans="9:11" x14ac:dyDescent="0.2">
      <c r="I407" s="51"/>
      <c r="J407" s="51"/>
      <c r="K407" s="51"/>
    </row>
    <row r="408" spans="9:11" x14ac:dyDescent="0.2">
      <c r="I408" s="51"/>
      <c r="J408" s="51"/>
      <c r="K408" s="51"/>
    </row>
    <row r="409" spans="9:11" x14ac:dyDescent="0.2">
      <c r="I409" s="51"/>
      <c r="J409" s="51"/>
      <c r="K409" s="51"/>
    </row>
    <row r="410" spans="9:11" x14ac:dyDescent="0.2">
      <c r="I410" s="51"/>
      <c r="J410" s="51"/>
      <c r="K410" s="51"/>
    </row>
    <row r="411" spans="9:11" x14ac:dyDescent="0.2">
      <c r="I411" s="51"/>
      <c r="J411" s="51"/>
      <c r="K411" s="51"/>
    </row>
    <row r="412" spans="9:11" x14ac:dyDescent="0.2">
      <c r="I412" s="51"/>
      <c r="J412" s="51"/>
      <c r="K412" s="51"/>
    </row>
    <row r="413" spans="9:11" x14ac:dyDescent="0.2">
      <c r="I413" s="51"/>
      <c r="J413" s="51"/>
      <c r="K413" s="51"/>
    </row>
    <row r="414" spans="9:11" x14ac:dyDescent="0.2">
      <c r="I414" s="51"/>
      <c r="J414" s="51"/>
      <c r="K414" s="51"/>
    </row>
    <row r="415" spans="9:11" x14ac:dyDescent="0.2">
      <c r="I415" s="51"/>
      <c r="J415" s="51"/>
      <c r="K415" s="51"/>
    </row>
    <row r="416" spans="9:11" x14ac:dyDescent="0.2">
      <c r="I416" s="51"/>
      <c r="J416" s="51"/>
      <c r="K416" s="51"/>
    </row>
    <row r="417" spans="9:11" x14ac:dyDescent="0.2">
      <c r="I417" s="51"/>
      <c r="J417" s="51"/>
      <c r="K417" s="51"/>
    </row>
    <row r="418" spans="9:11" x14ac:dyDescent="0.2">
      <c r="I418" s="51"/>
      <c r="J418" s="51"/>
      <c r="K418" s="51"/>
    </row>
    <row r="419" spans="9:11" x14ac:dyDescent="0.2">
      <c r="I419" s="51"/>
      <c r="J419" s="51"/>
      <c r="K419" s="51"/>
    </row>
    <row r="420" spans="9:11" x14ac:dyDescent="0.2">
      <c r="I420" s="51"/>
      <c r="J420" s="51"/>
      <c r="K420" s="51"/>
    </row>
    <row r="421" spans="9:11" x14ac:dyDescent="0.2">
      <c r="I421" s="51"/>
      <c r="J421" s="51"/>
      <c r="K421" s="51"/>
    </row>
    <row r="422" spans="9:11" x14ac:dyDescent="0.2">
      <c r="I422" s="51"/>
      <c r="J422" s="51"/>
      <c r="K422" s="51"/>
    </row>
    <row r="423" spans="9:11" x14ac:dyDescent="0.2">
      <c r="I423" s="51"/>
      <c r="J423" s="51"/>
      <c r="K423" s="51"/>
    </row>
    <row r="424" spans="9:11" x14ac:dyDescent="0.2">
      <c r="I424" s="51"/>
      <c r="J424" s="51"/>
      <c r="K424" s="51"/>
    </row>
    <row r="425" spans="9:11" x14ac:dyDescent="0.2">
      <c r="I425" s="51"/>
      <c r="J425" s="51"/>
      <c r="K425" s="51"/>
    </row>
    <row r="426" spans="9:11" x14ac:dyDescent="0.2">
      <c r="I426" s="51"/>
      <c r="J426" s="51"/>
      <c r="K426" s="51"/>
    </row>
    <row r="427" spans="9:11" x14ac:dyDescent="0.2">
      <c r="I427" s="51"/>
      <c r="J427" s="51"/>
      <c r="K427" s="51"/>
    </row>
    <row r="428" spans="9:11" x14ac:dyDescent="0.2">
      <c r="I428" s="51"/>
      <c r="J428" s="51"/>
      <c r="K428" s="51"/>
    </row>
    <row r="429" spans="9:11" x14ac:dyDescent="0.2">
      <c r="I429" s="51"/>
      <c r="J429" s="51"/>
      <c r="K429" s="51"/>
    </row>
    <row r="430" spans="9:11" x14ac:dyDescent="0.2">
      <c r="I430" s="51"/>
      <c r="J430" s="51"/>
      <c r="K430" s="51"/>
    </row>
    <row r="431" spans="9:11" x14ac:dyDescent="0.2">
      <c r="I431" s="51"/>
      <c r="J431" s="51"/>
      <c r="K431" s="51"/>
    </row>
    <row r="432" spans="9:11" x14ac:dyDescent="0.2">
      <c r="I432" s="51"/>
      <c r="J432" s="51"/>
      <c r="K432" s="51"/>
    </row>
    <row r="433" spans="9:11" x14ac:dyDescent="0.2">
      <c r="I433" s="51"/>
      <c r="J433" s="51"/>
      <c r="K433" s="51"/>
    </row>
    <row r="434" spans="9:11" x14ac:dyDescent="0.2">
      <c r="I434" s="51"/>
      <c r="J434" s="51"/>
      <c r="K434" s="51"/>
    </row>
    <row r="435" spans="9:11" x14ac:dyDescent="0.2">
      <c r="I435" s="51"/>
      <c r="J435" s="51"/>
      <c r="K435" s="51"/>
    </row>
    <row r="436" spans="9:11" x14ac:dyDescent="0.2">
      <c r="I436" s="51"/>
      <c r="J436" s="51"/>
      <c r="K436" s="51"/>
    </row>
    <row r="437" spans="9:11" x14ac:dyDescent="0.2">
      <c r="I437" s="51"/>
      <c r="J437" s="51"/>
      <c r="K437" s="51"/>
    </row>
    <row r="438" spans="9:11" x14ac:dyDescent="0.2">
      <c r="I438" s="51"/>
      <c r="J438" s="51"/>
      <c r="K438" s="51"/>
    </row>
    <row r="439" spans="9:11" x14ac:dyDescent="0.2">
      <c r="I439" s="51"/>
      <c r="J439" s="51"/>
      <c r="K439" s="51"/>
    </row>
    <row r="440" spans="9:11" x14ac:dyDescent="0.2">
      <c r="I440" s="51"/>
      <c r="J440" s="51"/>
      <c r="K440" s="51"/>
    </row>
    <row r="441" spans="9:11" x14ac:dyDescent="0.2">
      <c r="I441" s="51"/>
      <c r="J441" s="51"/>
      <c r="K441" s="51"/>
    </row>
    <row r="442" spans="9:11" x14ac:dyDescent="0.2">
      <c r="I442" s="51"/>
      <c r="J442" s="51"/>
      <c r="K442" s="51"/>
    </row>
    <row r="443" spans="9:11" x14ac:dyDescent="0.2">
      <c r="I443" s="51"/>
      <c r="J443" s="51"/>
      <c r="K443" s="51"/>
    </row>
    <row r="444" spans="9:11" x14ac:dyDescent="0.2">
      <c r="I444" s="51"/>
      <c r="J444" s="51"/>
      <c r="K444" s="51"/>
    </row>
    <row r="445" spans="9:11" x14ac:dyDescent="0.2">
      <c r="I445" s="51"/>
      <c r="J445" s="51"/>
      <c r="K445" s="51"/>
    </row>
    <row r="446" spans="9:11" x14ac:dyDescent="0.2">
      <c r="I446" s="51"/>
      <c r="J446" s="51"/>
      <c r="K446" s="51"/>
    </row>
    <row r="447" spans="9:11" x14ac:dyDescent="0.2">
      <c r="I447" s="51"/>
      <c r="J447" s="51"/>
      <c r="K447" s="51"/>
    </row>
    <row r="448" spans="9:11" x14ac:dyDescent="0.2">
      <c r="I448" s="51"/>
      <c r="J448" s="51"/>
      <c r="K448" s="51"/>
    </row>
    <row r="449" spans="9:11" x14ac:dyDescent="0.2">
      <c r="I449" s="51"/>
      <c r="J449" s="51"/>
      <c r="K449" s="51"/>
    </row>
    <row r="450" spans="9:11" x14ac:dyDescent="0.2">
      <c r="I450" s="51"/>
      <c r="J450" s="51"/>
      <c r="K450" s="51"/>
    </row>
    <row r="451" spans="9:11" x14ac:dyDescent="0.2">
      <c r="I451" s="51"/>
      <c r="J451" s="51"/>
      <c r="K451" s="51"/>
    </row>
    <row r="452" spans="9:11" x14ac:dyDescent="0.2">
      <c r="I452" s="51"/>
      <c r="J452" s="51"/>
      <c r="K452" s="51"/>
    </row>
    <row r="453" spans="9:11" x14ac:dyDescent="0.2">
      <c r="I453" s="51"/>
      <c r="J453" s="51"/>
      <c r="K453" s="51"/>
    </row>
    <row r="454" spans="9:11" x14ac:dyDescent="0.2">
      <c r="I454" s="51"/>
      <c r="J454" s="51"/>
      <c r="K454" s="51"/>
    </row>
    <row r="455" spans="9:11" x14ac:dyDescent="0.2">
      <c r="I455" s="51"/>
      <c r="J455" s="51"/>
      <c r="K455" s="51"/>
    </row>
    <row r="456" spans="9:11" x14ac:dyDescent="0.2">
      <c r="I456" s="51"/>
      <c r="J456" s="51"/>
      <c r="K456" s="51"/>
    </row>
    <row r="457" spans="9:11" x14ac:dyDescent="0.2">
      <c r="I457" s="51"/>
      <c r="J457" s="51"/>
      <c r="K457" s="51"/>
    </row>
    <row r="458" spans="9:11" x14ac:dyDescent="0.2">
      <c r="I458" s="51"/>
      <c r="J458" s="51"/>
      <c r="K458" s="51"/>
    </row>
    <row r="459" spans="9:11" x14ac:dyDescent="0.2">
      <c r="I459" s="51"/>
      <c r="J459" s="51"/>
      <c r="K459" s="51"/>
    </row>
    <row r="460" spans="9:11" x14ac:dyDescent="0.2">
      <c r="I460" s="51"/>
      <c r="J460" s="51"/>
      <c r="K460" s="51"/>
    </row>
    <row r="461" spans="9:11" x14ac:dyDescent="0.2">
      <c r="I461" s="51"/>
      <c r="J461" s="51"/>
      <c r="K461" s="51"/>
    </row>
    <row r="462" spans="9:11" x14ac:dyDescent="0.2">
      <c r="I462" s="51"/>
      <c r="J462" s="51"/>
      <c r="K462" s="51"/>
    </row>
    <row r="463" spans="9:11" x14ac:dyDescent="0.2">
      <c r="I463" s="51"/>
      <c r="J463" s="51"/>
      <c r="K463" s="51"/>
    </row>
    <row r="464" spans="9:11" x14ac:dyDescent="0.2">
      <c r="I464" s="51"/>
      <c r="J464" s="51"/>
      <c r="K464" s="51"/>
    </row>
    <row r="465" spans="9:11" x14ac:dyDescent="0.2">
      <c r="I465" s="51"/>
      <c r="J465" s="51"/>
      <c r="K465" s="51"/>
    </row>
    <row r="466" spans="9:11" x14ac:dyDescent="0.2">
      <c r="I466" s="51"/>
      <c r="J466" s="51"/>
      <c r="K466" s="51"/>
    </row>
    <row r="467" spans="9:11" x14ac:dyDescent="0.2">
      <c r="I467" s="51"/>
      <c r="J467" s="51"/>
      <c r="K467" s="51"/>
    </row>
    <row r="468" spans="9:11" x14ac:dyDescent="0.2">
      <c r="I468" s="51"/>
      <c r="J468" s="51"/>
      <c r="K468" s="51"/>
    </row>
    <row r="469" spans="9:11" x14ac:dyDescent="0.2">
      <c r="I469" s="51"/>
      <c r="J469" s="51"/>
      <c r="K469" s="51"/>
    </row>
    <row r="470" spans="9:11" x14ac:dyDescent="0.2">
      <c r="I470" s="51"/>
      <c r="J470" s="51"/>
      <c r="K470" s="51"/>
    </row>
    <row r="471" spans="9:11" x14ac:dyDescent="0.2">
      <c r="I471" s="51"/>
      <c r="J471" s="51"/>
      <c r="K471" s="51"/>
    </row>
    <row r="472" spans="9:11" x14ac:dyDescent="0.2">
      <c r="I472" s="51"/>
      <c r="J472" s="51"/>
      <c r="K472" s="51"/>
    </row>
    <row r="473" spans="9:11" x14ac:dyDescent="0.2">
      <c r="I473" s="51"/>
      <c r="J473" s="51"/>
      <c r="K473" s="51"/>
    </row>
    <row r="474" spans="9:11" x14ac:dyDescent="0.2">
      <c r="I474" s="51"/>
      <c r="J474" s="51"/>
      <c r="K474" s="51"/>
    </row>
    <row r="475" spans="9:11" x14ac:dyDescent="0.2">
      <c r="I475" s="51"/>
      <c r="J475" s="51"/>
      <c r="K475" s="51"/>
    </row>
    <row r="476" spans="9:11" x14ac:dyDescent="0.2">
      <c r="I476" s="51"/>
      <c r="J476" s="51"/>
      <c r="K476" s="51"/>
    </row>
    <row r="477" spans="9:11" x14ac:dyDescent="0.2">
      <c r="I477" s="51"/>
      <c r="J477" s="51"/>
      <c r="K477" s="51"/>
    </row>
    <row r="478" spans="9:11" x14ac:dyDescent="0.2">
      <c r="I478" s="51"/>
      <c r="J478" s="51"/>
      <c r="K478" s="51"/>
    </row>
    <row r="479" spans="9:11" x14ac:dyDescent="0.2">
      <c r="I479" s="51"/>
      <c r="J479" s="51"/>
      <c r="K479" s="51"/>
    </row>
    <row r="480" spans="9:11" x14ac:dyDescent="0.2">
      <c r="I480" s="51"/>
      <c r="J480" s="51"/>
      <c r="K480" s="51"/>
    </row>
    <row r="481" spans="9:11" x14ac:dyDescent="0.2">
      <c r="I481" s="51"/>
      <c r="J481" s="51"/>
      <c r="K481" s="51"/>
    </row>
    <row r="482" spans="9:11" x14ac:dyDescent="0.2">
      <c r="I482" s="51"/>
      <c r="J482" s="51"/>
      <c r="K482" s="51"/>
    </row>
    <row r="483" spans="9:11" x14ac:dyDescent="0.2">
      <c r="I483" s="51"/>
      <c r="J483" s="51"/>
      <c r="K483" s="51"/>
    </row>
    <row r="484" spans="9:11" x14ac:dyDescent="0.2">
      <c r="I484" s="51"/>
      <c r="J484" s="51"/>
      <c r="K484" s="51"/>
    </row>
    <row r="485" spans="9:11" x14ac:dyDescent="0.2">
      <c r="I485" s="51"/>
      <c r="J485" s="51"/>
      <c r="K485" s="51"/>
    </row>
    <row r="486" spans="9:11" x14ac:dyDescent="0.2">
      <c r="I486" s="51"/>
      <c r="J486" s="51"/>
      <c r="K486" s="51"/>
    </row>
    <row r="487" spans="9:11" x14ac:dyDescent="0.2">
      <c r="I487" s="51"/>
      <c r="J487" s="51"/>
      <c r="K487" s="51"/>
    </row>
    <row r="488" spans="9:11" x14ac:dyDescent="0.2">
      <c r="I488" s="51"/>
      <c r="J488" s="51"/>
      <c r="K488" s="51"/>
    </row>
    <row r="489" spans="9:11" x14ac:dyDescent="0.2">
      <c r="I489" s="51"/>
      <c r="J489" s="51"/>
      <c r="K489" s="51"/>
    </row>
    <row r="490" spans="9:11" x14ac:dyDescent="0.2">
      <c r="I490" s="51"/>
      <c r="J490" s="51"/>
      <c r="K490" s="51"/>
    </row>
    <row r="491" spans="9:11" x14ac:dyDescent="0.2">
      <c r="I491" s="51"/>
      <c r="J491" s="51"/>
      <c r="K491" s="51"/>
    </row>
  </sheetData>
  <customSheetViews>
    <customSheetView guid="{0BD4437E-22A9-4FBD-A5E2-5BE85718F571}" scale="110" fitToPage="1" printArea="1" showRuler="0">
      <pane ySplit="5" topLeftCell="A54" activePane="bottomLeft" state="frozenSplit"/>
      <selection pane="bottomLeft" activeCell="E4" sqref="E4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1"/>
      <headerFooter alignWithMargins="0">
        <oddFooter>&amp;R&amp;"Arial Narrow,обычный"&amp;8Лист &amp;P из &amp;N</oddFooter>
      </headerFooter>
    </customSheetView>
    <customSheetView guid="{08EF82CC-B73D-4976-854E-2FADDE1EDAB4}" scale="110" fitToPage="1" showRuler="0">
      <pane ySplit="5" topLeftCell="A108" activePane="bottomLeft" state="frozenSplit"/>
      <selection pane="bottomLeft" activeCell="G116" sqref="G116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"/>
      <headerFooter alignWithMargins="0">
        <oddFooter>&amp;R&amp;"Arial Narrow,обычный"&amp;8Лист &amp;P из &amp;N</oddFooter>
      </headerFooter>
    </customSheetView>
    <customSheetView guid="{6B5A71DB-8104-43F2-BE21-9362D50D2638}" fitToPage="1" printArea="1" hiddenRows="1" view="pageBreakPreview" showRuler="0">
      <pane ySplit="5" topLeftCell="A133" activePane="bottomLeft" state="frozenSplit"/>
      <selection pane="bottomLeft" activeCell="D57" sqref="D57"/>
      <rowBreaks count="60" manualBreakCount="60">
        <brk id="13" max="16383" man="1"/>
        <brk id="18" max="12" man="1"/>
        <brk id="21" max="12" man="1"/>
        <brk id="23" max="12" man="1"/>
        <brk id="26" max="12" man="1"/>
        <brk id="28" max="16383" man="1"/>
        <brk id="42" max="12" man="1"/>
        <brk id="43" max="12" man="1"/>
        <brk id="44" max="12" man="1"/>
        <brk id="45" max="12" man="1"/>
        <brk id="46" max="12" man="1"/>
        <brk id="47" max="12" man="1"/>
        <brk id="51" max="12" man="1"/>
        <brk id="63" max="12" man="1"/>
        <brk id="64" max="12" man="1"/>
        <brk id="67" max="12" man="1"/>
        <brk id="76" max="16383" man="1"/>
        <brk id="80" max="12" man="1"/>
        <brk id="81" max="16383" man="1"/>
        <brk id="84" max="12" man="1"/>
        <brk id="92" max="12" man="1"/>
        <brk id="129" max="12" man="1"/>
        <brk id="137" max="12" man="1"/>
        <brk id="138" max="12" man="1"/>
        <brk id="140" max="16383" man="1"/>
        <brk id="143" max="12" man="1"/>
        <brk id="144" max="12" man="1"/>
        <brk id="147" max="16383" man="1"/>
        <brk id="148" max="16383" man="1"/>
        <brk id="151" max="13" man="1"/>
        <brk id="152" max="16383" man="1"/>
        <brk id="153" max="13" man="1"/>
        <brk id="155" max="13" man="1"/>
        <brk id="158" max="13" man="1"/>
        <brk id="159" max="13" man="1"/>
        <brk id="161" max="13" man="1"/>
        <brk id="162" max="13" man="1"/>
        <brk id="169" max="13" man="1"/>
        <brk id="175" max="13" man="1"/>
        <brk id="176" max="13" man="1"/>
        <brk id="177" max="13" man="1"/>
        <brk id="180" max="13" man="1"/>
        <brk id="181" max="16383" man="1"/>
        <brk id="184" max="13" man="1"/>
        <brk id="186" max="16383" man="1"/>
        <brk id="188" max="16383" man="1"/>
        <brk id="189" max="13" man="1"/>
        <brk id="190" max="13" man="1"/>
        <brk id="191" max="13" man="1"/>
        <brk id="197" max="13" man="1"/>
        <brk id="199" max="13" man="1"/>
        <brk id="204" max="13" man="1"/>
        <brk id="206" max="13" man="1"/>
        <brk id="209" max="13" man="1"/>
        <brk id="211" max="13" man="1"/>
        <brk id="219" max="13" man="1"/>
        <brk id="220" max="16383" man="1"/>
        <brk id="228" max="13" man="1"/>
        <brk id="232" max="13" man="1"/>
        <brk id="240" max="13" man="1"/>
      </rowBreaks>
      <pageMargins left="0.27559055118110237" right="0.19685039370078741" top="0.31496062992125984" bottom="0.19685039370078741" header="0.15748031496062992" footer="0.19685039370078741"/>
      <pageSetup paperSize="9" scale="87" fitToHeight="14" orientation="landscape" blackAndWhite="1" horizontalDpi="4294967292" verticalDpi="4294967292" r:id="rId3"/>
      <headerFooter alignWithMargins="0">
        <oddFooter>&amp;R&amp;"Arial Narrow,обычный"&amp;8Лист &amp;P из &amp;N</oddFooter>
      </headerFooter>
    </customSheetView>
    <customSheetView guid="{D467516B-79C5-4C0A-A5E2-1E73FB77BFFC}" showPageBreaks="1" fitToPage="1" showRuler="0">
      <pane xSplit="2" ySplit="4" topLeftCell="C89" activePane="bottomRight" state="frozenSplit"/>
      <selection pane="bottomRight" activeCell="D107" sqref="D107"/>
      <rowBreaks count="74" manualBreakCount="74">
        <brk id="13" max="13" man="1"/>
        <brk id="14" max="16383" man="1"/>
        <brk id="16" max="16383" man="1"/>
        <brk id="18" max="16383" man="1"/>
        <brk id="22" max="16383" man="1"/>
        <brk id="23" max="13" man="1"/>
        <brk id="24" max="16383" man="1"/>
        <brk id="25" max="16383" man="1"/>
        <brk id="26" max="16383" man="1"/>
        <brk id="27" max="16383" man="1"/>
        <brk id="28" max="16383" man="1"/>
        <brk id="29" max="16383" man="1"/>
        <brk id="30" max="16383" man="1"/>
        <brk id="31" max="16383" man="1"/>
        <brk id="32" max="16383" man="1"/>
        <brk id="33" max="16383" man="1"/>
        <brk id="35" max="16383" man="1"/>
        <brk id="36" max="16383" man="1"/>
        <brk id="37" max="16383" man="1"/>
        <brk id="38" max="16383" man="1"/>
        <brk id="39" max="13" man="1"/>
        <brk id="40" max="16383" man="1"/>
        <brk id="42" max="16383" man="1"/>
        <brk id="43" max="16383" man="1"/>
        <brk id="44" max="16383" man="1"/>
        <brk id="45" max="16383" man="1"/>
        <brk id="46" max="16383" man="1"/>
        <brk id="47" max="16383" man="1"/>
        <brk id="48" max="16383" man="1"/>
        <brk id="49" max="16383" man="1"/>
        <brk id="50" max="16383" man="1"/>
        <brk id="51" max="13" man="1"/>
        <brk id="52" max="16383" man="1"/>
        <brk id="56" max="13" man="1"/>
        <brk id="58" max="10" man="1"/>
        <brk id="59" max="16383" man="1"/>
        <brk id="62" max="16383" man="1"/>
        <brk id="73" max="13" man="1"/>
        <brk id="74" max="13" man="1"/>
        <brk id="76" max="13" man="1"/>
        <brk id="80" max="13" man="1"/>
        <brk id="81" max="16383" man="1"/>
        <brk id="85" max="16383" man="1"/>
        <brk id="86" max="16383" man="1"/>
        <brk id="87" max="16383" man="1"/>
        <brk id="88" max="13" man="1"/>
        <brk id="91" max="16383" man="1"/>
        <brk id="92" max="13" man="1"/>
        <brk id="94" max="13" man="1"/>
        <brk id="95" max="16383" man="1"/>
        <brk id="96" max="16383" man="1"/>
        <brk id="97" max="16383" man="1"/>
        <brk id="98" max="16383" man="1"/>
        <brk id="100" max="16383" man="1"/>
        <brk id="101" max="13" man="1"/>
        <brk id="107" max="10" man="1"/>
        <brk id="108" max="16383" man="1"/>
        <brk id="109" max="13" man="1"/>
        <brk id="110" max="16383" man="1"/>
        <brk id="112" max="13" man="1"/>
        <brk id="114" max="16383" man="1"/>
        <brk id="119" max="16383" man="1"/>
        <brk id="120" max="16383" man="1"/>
        <brk id="122" max="16383" man="1"/>
        <brk id="124" max="16383" man="1"/>
        <brk id="134" max="10" man="1"/>
        <brk id="135" max="16383" man="1"/>
        <brk id="136" max="16383" man="1"/>
        <brk id="138" max="10" man="1"/>
        <brk id="142" max="16383" man="1"/>
        <brk id="148" max="16383" man="1"/>
        <brk id="165" max="16383" man="1"/>
        <brk id="166" max="16383" man="1"/>
        <brk id="179" max="16383" man="1"/>
      </rowBreaks>
      <pageMargins left="0.27559055118110237" right="0.19685039370078741" top="0.33" bottom="0.4" header="0.15748031496062992" footer="0.19685039370078741"/>
      <pageSetup paperSize="9" scale="92" fitToHeight="13" orientation="landscape" blackAndWhite="1" horizontalDpi="4294967292" verticalDpi="4294967292" r:id="rId4"/>
      <headerFooter alignWithMargins="0">
        <oddFooter>&amp;R&amp;"Arial Narrow,обычный"&amp;8Лист &amp;P из &amp;N</oddFooter>
      </headerFooter>
    </customSheetView>
    <customSheetView guid="{7BE5A02B-F350-49A6-9913-9C71C08559EF}" showPageBreaks="1" fitToPage="1" hiddenRows="1" showRuler="0" topLeftCell="B1">
      <pane ySplit="4" topLeftCell="A165" activePane="bottomLeft" state="frozen"/>
      <selection pane="bottomLeft" activeCell="O192" sqref="O192"/>
      <rowBreaks count="114" manualBreakCount="114">
        <brk id="13" max="16383" man="1"/>
        <brk id="16" max="16383" man="1"/>
        <brk id="19" max="16383" man="1"/>
        <brk id="20" max="16383" man="1"/>
        <brk id="24" max="16383" man="1"/>
        <brk id="28" max="13" man="1"/>
        <brk id="29" max="13" man="1"/>
        <brk id="30" max="16383" man="1"/>
        <brk id="31" max="16383" man="1"/>
        <brk id="38" max="16383" man="1"/>
        <brk id="39" max="16383" man="1"/>
        <brk id="40" max="16383" man="1"/>
        <brk id="41" max="16383" man="1"/>
        <brk id="42" max="16383" man="1"/>
        <brk id="43" max="16383" man="1"/>
        <brk id="49" max="16383" man="1"/>
        <brk id="50" max="16383" man="1"/>
        <brk id="53" max="16383" man="1"/>
        <brk id="54" max="16383" man="1"/>
        <brk id="55" max="16383" man="1"/>
        <brk id="56" max="16383" man="1"/>
        <brk id="57" max="16383" man="1"/>
        <brk id="58" max="16383" man="1"/>
        <brk id="62" max="16383" man="1"/>
        <brk id="65" max="16383" man="1"/>
        <brk id="69" max="13" man="1"/>
        <brk id="70" max="16383" man="1"/>
        <brk id="71" max="16383" man="1"/>
        <brk id="72" max="16383" man="1"/>
        <brk id="73" max="16383" man="1"/>
        <brk id="74" max="16383" man="1"/>
        <brk id="75" max="16383" man="1"/>
        <brk id="78" max="16383" man="1"/>
        <brk id="83" max="16383" man="1"/>
        <brk id="84" max="16383" man="1"/>
        <brk id="85" max="16383" man="1"/>
        <brk id="86" max="16383" man="1"/>
        <brk id="87" max="16383" man="1"/>
        <brk id="90" max="16383" man="1"/>
        <brk id="92" max="16383" man="1"/>
        <brk id="93" max="16383" man="1"/>
        <brk id="94" max="16383" man="1"/>
        <brk id="96" max="16383" man="1"/>
        <brk id="100" max="16383" man="1"/>
        <brk id="101" max="16383" man="1"/>
        <brk id="102" max="16383" man="1"/>
        <brk id="104" max="13" man="1"/>
        <brk id="105" max="16383" man="1"/>
        <brk id="106" max="16383" man="1"/>
        <brk id="107" max="16383" man="1"/>
        <brk id="108" max="16383" man="1"/>
        <brk id="109" max="16383" man="1"/>
        <brk id="110" max="13" man="1"/>
        <brk id="111" max="16383" man="1"/>
        <brk id="112" max="16383" man="1"/>
        <brk id="113" max="16383" man="1"/>
        <brk id="114" max="16383" man="1"/>
        <brk id="115" max="16383" man="1"/>
        <brk id="119" max="16383" man="1"/>
        <brk id="121" max="16383" man="1"/>
        <brk id="122" max="16383" man="1"/>
        <brk id="124" max="16383" man="1"/>
        <brk id="125" max="16383" man="1"/>
        <brk id="126" max="13" man="1"/>
        <brk id="127" max="16383" man="1"/>
        <brk id="131" max="13" man="1"/>
        <brk id="133" max="16383" man="1"/>
        <brk id="136" max="16383" man="1"/>
        <brk id="137" max="16383" man="1"/>
        <brk id="139" max="16383" man="1"/>
        <brk id="140" max="16383" man="1"/>
        <brk id="145" max="16383" man="1"/>
        <brk id="146" max="16383" man="1"/>
        <brk id="148" max="16383" man="1"/>
        <brk id="149" max="16383" man="1"/>
        <brk id="153" max="16383" man="1"/>
        <brk id="154" max="16383" man="1"/>
        <brk id="161" max="16383" man="1"/>
        <brk id="162" max="16383" man="1"/>
        <brk id="163" max="16383" man="1"/>
        <brk id="165" max="16383" man="1"/>
        <brk id="166" max="16383" man="1"/>
        <brk id="170" max="16383" man="1"/>
        <brk id="174" max="16383" man="1"/>
        <brk id="175" max="16383" man="1"/>
        <brk id="181" max="16383" man="1"/>
        <brk id="182" max="16383" man="1"/>
        <brk id="183" max="16383" man="1"/>
        <brk id="184" max="16383" man="1"/>
        <brk id="187" max="13" man="1"/>
        <brk id="191" max="16383" man="1"/>
        <brk id="192" max="16383" man="1"/>
        <brk id="193" max="16383" man="1"/>
        <brk id="197" max="16383" man="1"/>
        <brk id="198" max="16383" man="1"/>
        <brk id="201" max="16383" man="1"/>
        <brk id="204" max="16383" man="1"/>
        <brk id="206" max="16383" man="1"/>
        <brk id="207" max="16383" man="1"/>
        <brk id="210" max="16383" man="1"/>
        <brk id="211" max="16383" man="1"/>
        <brk id="212" max="16383" man="1"/>
        <brk id="215" max="16383" man="1"/>
        <brk id="216" max="16383" man="1"/>
        <brk id="217" max="16383" man="1"/>
        <brk id="218" max="16383" man="1"/>
        <brk id="219" max="16383" man="1"/>
        <brk id="222" max="16383" man="1"/>
        <brk id="223" max="16383" man="1"/>
        <brk id="225" max="16383" man="1"/>
        <brk id="226" max="16383" man="1"/>
        <brk id="239" max="16383" man="1"/>
        <brk id="240" max="16383" man="1"/>
        <brk id="243" max="16383" man="1"/>
      </rowBreaks>
      <pageMargins left="0.27559055118110237" right="0.15748031496062992" top="0.31496062992125984" bottom="0.39370078740157483" header="0.15748031496062992" footer="0.19685039370078741"/>
      <pageSetup paperSize="9" scale="84" fitToHeight="13" orientation="landscape" blackAndWhite="1" horizontalDpi="4294967292" verticalDpi="4294967292" r:id="rId5"/>
      <headerFooter alignWithMargins="0">
        <oddFooter>&amp;R&amp;"Arial Narrow,обычный"&amp;8Лист &amp;P из &amp;N</oddFooter>
      </headerFooter>
    </customSheetView>
    <customSheetView guid="{14B9A1CF-2355-4181-A84E-C897271F378C}" scale="130" showPageBreaks="1" printArea="1" hiddenRows="1" view="pageBreakPreview" showRuler="0" topLeftCell="A92">
      <selection activeCell="C83" sqref="C83"/>
      <pageMargins left="0.27559055118110237" right="0.19685039370078741" top="0.31496062992125984" bottom="0.39370078740157483" header="0.15748031496062992" footer="0.19685039370078741"/>
      <pageSetup paperSize="9" scale="75" fitToHeight="11" orientation="landscape" blackAndWhite="1" horizontalDpi="4294967292" verticalDpi="4294967292" r:id="rId6"/>
      <headerFooter alignWithMargins="0">
        <oddFooter>&amp;R&amp;"Arial Narrow,обычный"&amp;8Лист &amp;P из &amp;N</oddFooter>
      </headerFooter>
    </customSheetView>
    <customSheetView guid="{CFB674C1-F40C-43C9-AC2B-719C7269531B}" showPageBreaks="1" fitToPage="1" printArea="1" hiddenRows="1" showRuler="0">
      <pane xSplit="2" ySplit="4" topLeftCell="C17" activePane="bottomRight" state="frozenSplit"/>
      <selection pane="bottomRight" activeCell="K17" sqref="K17"/>
      <rowBreaks count="98" manualBreakCount="98">
        <brk id="13" max="13" man="1"/>
        <brk id="14" max="16383" man="1"/>
        <brk id="15" max="1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5" max="1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scale="99" fitToHeight="14" orientation="landscape" blackAndWhite="1" horizontalDpi="4294967292" verticalDpi="4294967292" r:id="rId7"/>
      <headerFooter alignWithMargins="0">
        <oddFooter>&amp;R&amp;"Arial Narrow,обычный"&amp;8Лист &amp;P из &amp;N</oddFooter>
      </headerFooter>
    </customSheetView>
    <customSheetView guid="{E64E5F61-FD5E-11DA-AA5B-0004761D6C8E}" fitToPage="1" printArea="1" hiddenRows="1" showRuler="0">
      <pane xSplit="2" ySplit="4" topLeftCell="C107" activePane="bottomRight" state="frozenSplit"/>
      <selection pane="bottomRight" activeCell="D112" sqref="D112"/>
      <rowBreaks count="96" manualBreakCount="96">
        <brk id="13" max="13" man="1"/>
        <brk id="14" max="1638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fitToHeight="14" orientation="landscape" blackAndWhite="1" horizontalDpi="4294967292" verticalDpi="4294967292" r:id="rId8"/>
      <headerFooter alignWithMargins="0">
        <oddFooter>&amp;R&amp;"Arial Narrow,обычный"&amp;8Лист &amp;P из &amp;N</oddFooter>
      </headerFooter>
    </customSheetView>
    <customSheetView guid="{D8CBB260-8D05-11D7-88E1-00C0268016AF}" scale="120" showPageBreaks="1" showRuler="0">
      <pane xSplit="2" ySplit="4" topLeftCell="C5" activePane="bottomRight" state="frozenSplit"/>
      <selection pane="bottomRight" activeCell="A4" sqref="A4"/>
      <pageMargins left="0.42" right="0.17" top="0.23" bottom="0.28000000000000003" header="0.15748031496062992" footer="0.17"/>
      <pageSetup paperSize="9" orientation="landscape" blackAndWhite="1" horizontalDpi="4294967292" verticalDpi="4294967292" r:id="rId9"/>
      <headerFooter alignWithMargins="0">
        <oddFooter>&amp;R&amp;"Arial Narrow,обычный"&amp;8Лист &amp;P из &amp;N</oddFooter>
      </headerFooter>
    </customSheetView>
    <customSheetView guid="{97B5DCE1-CCA4-11D7-B6CC-0007E980B7D4}" showPageBreaks="1" fitToPage="1" printArea="1" hiddenRows="1" view="pageBreakPreview" showRuler="0">
      <pane xSplit="2" ySplit="4" topLeftCell="C162" activePane="bottomRight" state="frozenSplit"/>
      <selection pane="bottomRight" activeCell="B10" sqref="B10"/>
      <rowBreaks count="11" manualBreakCount="11">
        <brk id="12" max="13" man="1"/>
        <brk id="24" max="13" man="1"/>
        <brk id="36" max="13" man="1"/>
        <brk id="42" max="13" man="1"/>
        <brk id="56" max="13" man="1"/>
        <brk id="67" max="13" man="1"/>
        <brk id="72" max="13" man="1"/>
        <brk id="80" max="13" man="1"/>
        <brk id="105" max="13" man="1"/>
        <brk id="130" max="13" man="1"/>
        <brk id="157" max="13" man="1"/>
      </rowBreaks>
      <pageMargins left="0.27559055118110237" right="0.19685039370078741" top="0.31496062992125984" bottom="0.31496062992125984" header="0.15748031496062992" footer="0.19685039370078741"/>
      <pageSetup paperSize="9" scale="97" fitToHeight="0" orientation="landscape" horizontalDpi="4294967292" verticalDpi="4294967292" r:id="rId10"/>
      <headerFooter alignWithMargins="0">
        <oddFooter>&amp;R&amp;"Arial Narrow,обычный"&amp;8Лист &amp;P из &amp;N</oddFooter>
      </headerFooter>
    </customSheetView>
    <customSheetView guid="{14012921-CBF7-11D7-980F-000102998381}" showPageBreaks="1" showRuler="0">
      <pane xSplit="2" ySplit="4" topLeftCell="D1" activePane="bottomRight"/>
      <selection pane="bottomRight" activeCell="E13" sqref="E13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1"/>
      <headerFooter alignWithMargins="0">
        <oddFooter>&amp;R&amp;"Arial Narrow,обычный"&amp;8Лист &amp;P из &amp;N</oddFooter>
      </headerFooter>
    </customSheetView>
    <customSheetView guid="{B0C63354-C39E-4697-B077-F68D4BA3474A}" showPageBreaks="1" showRuler="0">
      <pane xSplit="2" ySplit="4" topLeftCell="I187" activePane="bottomRight" state="frozenSplit"/>
      <selection pane="bottomRight" activeCell="K197" sqref="K197"/>
      <pageMargins left="0.27" right="0.2" top="0.32" bottom="0.32" header="0.17" footer="0.19"/>
      <pageSetup paperSize="9" orientation="landscape" horizontalDpi="4294967292" verticalDpi="4294967292" r:id="rId12"/>
      <headerFooter alignWithMargins="0">
        <oddFooter>&amp;R&amp;"Arial Narrow,обычный"&amp;8Лист &amp;P из &amp;N</oddFooter>
      </headerFooter>
    </customSheetView>
    <customSheetView guid="{8F58F720-5478-11D7-8E43-00002120D636}" showPageBreaks="1" printArea="1" showRuler="0">
      <pane xSplit="2" ySplit="4" topLeftCell="C90" activePane="bottomRight" state="frozenSplit"/>
      <selection pane="bottomRight" activeCell="E96" sqref="E96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3"/>
      <headerFooter alignWithMargins="0">
        <oddFooter>&amp;R&amp;"Arial Narrow,обычный"&amp;8Лист &amp;P из &amp;N</oddFooter>
      </headerFooter>
    </customSheetView>
    <customSheetView guid="{92DADDC1-9BFC-11D7-B114-000102998381}" showRuler="0">
      <pane xSplit="2" ySplit="4" topLeftCell="D88" activePane="bottomRight" state="frozenSplit"/>
      <selection pane="bottomRight" activeCell="N98" sqref="N98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4"/>
      <headerFooter alignWithMargins="0">
        <oddFooter>&amp;R&amp;"Arial Narrow,обычный"&amp;8Лист &amp;P из &amp;N</oddFooter>
      </headerFooter>
    </customSheetView>
    <customSheetView guid="{CD228F81-555E-11D7-A5BE-0050BF58DBA5}" showPageBreaks="1" showRuler="0">
      <pane xSplit="2" ySplit="4" topLeftCell="K86" activePane="bottomRight" state="frozenSplit"/>
      <selection pane="bottomRight" activeCell="N91" sqref="N91"/>
      <pageMargins left="0.27" right="0.2" top="0.32" bottom="0.32" header="0.17" footer="0.19"/>
      <pageSetup paperSize="9" orientation="landscape" horizontalDpi="4294967292" verticalDpi="4294967292" r:id="rId15"/>
      <headerFooter alignWithMargins="0">
        <oddFooter>&amp;R&amp;"Arial Narrow,обычный"&amp;8Лист &amp;P из &amp;N</oddFooter>
      </headerFooter>
    </customSheetView>
    <customSheetView guid="{DCFE9E60-5475-11D7-802E-0050224027E0}" showPageBreaks="1" showRuler="0">
      <pane xSplit="2" ySplit="4" topLeftCell="K180" activePane="bottomRight" state="frozenSplit"/>
      <selection pane="bottomRight" activeCell="K193" sqref="K193"/>
      <pageMargins left="0.27" right="0.2" top="0.32" bottom="0.32" header="0.17" footer="0.19"/>
      <pageSetup paperSize="9" orientation="landscape" horizontalDpi="4294967292" verticalDpi="4294967292" r:id="rId16"/>
      <headerFooter alignWithMargins="0">
        <oddFooter>&amp;R&amp;"Arial Narrow,обычный"&amp;8Лист &amp;P из &amp;N</oddFooter>
      </headerFooter>
    </customSheetView>
    <customSheetView guid="{AE4F8834-9834-4486-A1C0-FEF04E11EC4A}" showRuler="0">
      <pane xSplit="2" ySplit="4" topLeftCell="C167" activePane="bottomRight" state="frozenSplit"/>
      <selection pane="bottomRight" activeCell="E184" sqref="E184"/>
      <pageMargins left="0.27" right="0.2" top="0.32" bottom="0.32" header="0.17" footer="0.19"/>
      <pageSetup paperSize="9" orientation="landscape" horizontalDpi="4294967292" verticalDpi="4294967292" r:id="rId17"/>
      <headerFooter alignWithMargins="0">
        <oddFooter>&amp;R&amp;"Arial Narrow,обычный"&amp;8Лист &amp;P из &amp;N</oddFooter>
      </headerFooter>
    </customSheetView>
    <customSheetView guid="{735893B7-5E6F-4E87-8F79-7422E435EC59}" scale="90" showPageBreaks="1" printArea="1" showRuler="0">
      <pane xSplit="2" ySplit="6" topLeftCell="C109" activePane="bottomRight" state="frozen"/>
      <selection pane="bottomRight" activeCell="B95" sqref="B95"/>
      <colBreaks count="2" manualBreakCount="2">
        <brk id="13" max="208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scale="94" orientation="landscape" horizontalDpi="4294967292" verticalDpi="4294967292" r:id="rId18"/>
      <headerFooter alignWithMargins="0">
        <oddFooter>&amp;R&amp;"Arial Narrow,обычный"&amp;8Лист &amp;P из &amp;N</oddFooter>
      </headerFooter>
    </customSheetView>
    <customSheetView guid="{88FCA060-646D-11D8-9232-00C0268CB387}" showPageBreaks="1" printArea="1" hiddenRows="1" view="pageBreakPreview" showRuler="0">
      <pane xSplit="2" ySplit="4" topLeftCell="C75" activePane="bottomRight" state="frozenSplit"/>
      <selection pane="bottomRight" activeCell="K78" sqref="K78"/>
      <rowBreaks count="16" manualBreakCount="16">
        <brk id="12" max="13" man="1"/>
        <brk id="24" max="13" man="1"/>
        <brk id="36" max="13" man="1"/>
        <brk id="42" max="13" man="1"/>
        <brk id="52" max="13" man="1"/>
        <brk id="53" max="13" man="1"/>
        <brk id="60" max="13" man="1"/>
        <brk id="61" max="13" man="1"/>
        <brk id="71" max="13" man="1"/>
        <brk id="78" max="13" man="1"/>
        <brk id="79" max="13" man="1"/>
        <brk id="80" max="16383" man="1"/>
        <brk id="105" max="13" man="1"/>
        <brk id="128" max="13" man="1"/>
        <brk id="131" max="13" man="1"/>
        <brk id="158" max="13" man="1"/>
      </rowBreaks>
      <colBreaks count="2" manualBreakCount="2">
        <brk id="13" max="177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fitToHeight="15" orientation="landscape" horizontalDpi="4294967292" verticalDpi="4294967292" r:id="rId19"/>
      <headerFooter alignWithMargins="0">
        <oddFooter>&amp;R&amp;"Arial Narrow,обычный"&amp;8Лист &amp;P из &amp;N</oddFooter>
      </headerFooter>
    </customSheetView>
    <customSheetView guid="{3EDC6120-9ECF-11DA-86FE-0007E980B6BD}" showPageBreaks="1" fitToPage="1" showRuler="0">
      <pane xSplit="2" ySplit="4" topLeftCell="C176" activePane="bottomRight" state="frozenSplit"/>
      <selection pane="bottomRight" activeCell="D185" sqref="D185"/>
      <rowBreaks count="90" manualBreakCount="90">
        <brk id="13" max="16383" man="1"/>
        <brk id="14" max="16383" man="1"/>
        <brk id="21" max="13" man="1"/>
        <brk id="26" max="16383" man="1"/>
        <brk id="27" max="16383" man="1"/>
        <brk id="28" max="16383" man="1"/>
        <brk id="29" max="13" man="1"/>
        <brk id="30" max="13" man="1"/>
        <brk id="38" max="13" man="1"/>
        <brk id="39" max="16383" man="1"/>
        <brk id="40" max="16383" man="1"/>
        <brk id="42" max="16383" man="1"/>
        <brk id="43" max="13" man="1"/>
        <brk id="44" max="16383" man="1"/>
        <brk id="45" max="13" man="1"/>
        <brk id="47" max="13" man="1"/>
        <brk id="48" max="16383" man="1"/>
        <brk id="49" max="16383" man="1"/>
        <brk id="52" max="16383" man="1"/>
        <brk id="53" max="13" man="1"/>
        <brk id="54" max="16383" man="1"/>
        <brk id="55" max="13" man="1"/>
        <brk id="56" max="16383" man="1"/>
        <brk id="59" max="16383" man="1"/>
        <brk id="63" max="13" man="1"/>
        <brk id="64" max="16383" man="1"/>
        <brk id="65" max="13" man="1"/>
        <brk id="66" max="16383" man="1"/>
        <brk id="67" max="13" man="1"/>
        <brk id="68" max="16383" man="1"/>
        <brk id="69" max="16383" man="1"/>
        <brk id="72" max="13" man="1"/>
        <brk id="74" max="13" man="1"/>
        <brk id="75" max="16383" man="1"/>
        <brk id="76" max="16383" man="1"/>
        <brk id="77" max="16383" man="1"/>
        <brk id="79" max="13" man="1"/>
        <brk id="82" max="13" man="1"/>
        <brk id="86" max="13" man="1"/>
        <brk id="87" max="13" man="1"/>
        <brk id="88" max="16383" man="1"/>
        <brk id="89" max="16383" man="1"/>
        <brk id="90" max="16383" man="1"/>
        <brk id="92" max="13" man="1"/>
        <brk id="93" max="13" man="1"/>
        <brk id="94" max="13" man="1"/>
        <brk id="95" max="16383" man="1"/>
        <brk id="96" max="13" man="1"/>
        <brk id="98" max="16383" man="1"/>
        <brk id="103" max="16383" man="1"/>
        <brk id="104" max="13" man="1"/>
        <brk id="106" max="13" man="1"/>
        <brk id="111" max="13" man="1"/>
        <brk id="112" max="16383" man="1"/>
        <brk id="114" max="16383" man="1"/>
        <brk id="118" max="16383" man="1"/>
        <brk id="119" max="16383" man="1"/>
        <brk id="121" max="13" man="1"/>
        <brk id="122" max="13" man="1"/>
        <brk id="123" max="13" man="1"/>
        <brk id="124" max="13" man="1"/>
        <brk id="125" max="13" man="1"/>
        <brk id="132" max="16383" man="1"/>
        <brk id="135" max="13" man="1"/>
        <brk id="137" max="13" man="1"/>
        <brk id="143" max="16383" man="1"/>
        <brk id="144" max="16383" man="1"/>
        <brk id="146" max="16383" man="1"/>
        <brk id="147" max="16383" man="1"/>
        <brk id="149" max="16383" man="1"/>
        <brk id="151" max="16383" man="1"/>
        <brk id="153" max="13" man="1"/>
        <brk id="155" max="13" man="1"/>
        <brk id="156" max="13" man="1"/>
        <brk id="163" max="13" man="1"/>
        <brk id="164" max="16383" man="1"/>
        <brk id="166" max="13" man="1"/>
        <brk id="172" max="13" man="1"/>
        <brk id="175" max="13" man="1"/>
        <brk id="176" max="13" man="1"/>
        <brk id="177" max="16383" man="1"/>
        <brk id="179" max="13" man="1"/>
        <brk id="180" max="13" man="1"/>
        <brk id="181" max="16383" man="1"/>
        <brk id="182" max="16383" man="1"/>
        <brk id="183" max="13" man="1"/>
        <brk id="184" max="13" man="1"/>
        <brk id="193" max="16383" man="1"/>
        <brk id="206" max="13" man="1"/>
        <brk id="223" max="16383" man="1"/>
      </rowBreaks>
      <pageMargins left="0.27559055118110237" right="0.19685039370078741" top="0.33" bottom="0.4" header="0.15748031496062992" footer="0.19685039370078741"/>
      <pageSetup paperSize="9" scale="85" fitToHeight="18" orientation="landscape" blackAndWhite="1" horizontalDpi="4294967292" verticalDpi="4294967292" r:id="rId20"/>
      <headerFooter alignWithMargins="0">
        <oddFooter>&amp;R&amp;"Arial Narrow,обычный"&amp;8Лист &amp;P из &amp;N</oddFooter>
      </headerFooter>
    </customSheetView>
    <customSheetView guid="{A91D99C2-8122-48C0-91AB-172E51C62B1D}" showPageBreaks="1" fitToPage="1" printArea="1" hiddenRows="1" showRuler="0" topLeftCell="B1">
      <pane ySplit="4" topLeftCell="A5" activePane="bottomLeft" state="frozen"/>
      <selection pane="bottomLeft" activeCell="B14" sqref="B14"/>
      <rowBreaks count="20" manualBreakCount="20">
        <brk id="14" max="13" man="1"/>
        <brk id="28" max="13" man="1"/>
        <brk id="43" max="16383" man="1"/>
        <brk id="52" max="13" man="1"/>
        <brk id="53" max="13" man="1"/>
        <brk id="63" max="16383" man="1"/>
        <brk id="76" max="16383" man="1"/>
        <brk id="92" max="13" man="1"/>
        <brk id="98" max="13" man="1"/>
        <brk id="99" max="13" man="1"/>
        <brk id="108" max="13" man="1"/>
        <brk id="114" max="13" man="1"/>
        <brk id="130" max="13" man="1"/>
        <brk id="132" max="13" man="1"/>
        <brk id="171" max="13" man="1"/>
        <brk id="173" max="13" man="1"/>
        <brk id="206" max="13" man="1"/>
        <brk id="209" max="13" man="1"/>
        <brk id="231" max="13" man="1"/>
        <brk id="239" max="16383" man="1"/>
      </rowBreaks>
      <colBreaks count="1" manualBreakCount="1">
        <brk id="14" max="1048575" man="1"/>
      </colBreaks>
      <pageMargins left="0.19685039370078741" right="0.19685039370078741" top="0.31496062992125984" bottom="0.39370078740157483" header="0.15748031496062992" footer="0.19685039370078741"/>
      <pageSetup paperSize="9" scale="95" fitToHeight="17" orientation="landscape" blackAndWhite="1" horizontalDpi="4294967292" verticalDpi="4294967292" r:id="rId21"/>
      <headerFooter alignWithMargins="0">
        <oddFooter>&amp;R&amp;"Arial Narrow,обычный"&amp;8Лист &amp;P из &amp;N</oddFooter>
      </headerFooter>
    </customSheetView>
    <customSheetView guid="{10971261-6A6B-11D7-802E-0050224027E0}" showPageBreaks="1" fitToPage="1" printArea="1" view="pageBreakPreview" showRuler="0">
      <pane xSplit="2" ySplit="4" topLeftCell="C214" activePane="bottomRight" state="frozenSplit"/>
      <selection pane="bottomRight" activeCell="C201" sqref="C201"/>
      <rowBreaks count="67" manualBreakCount="67">
        <brk id="12" max="13" man="1"/>
        <brk id="13" max="13" man="1"/>
        <brk id="14" max="13" man="1"/>
        <brk id="19" max="13" man="1"/>
        <brk id="20" max="13" man="1"/>
        <brk id="23" max="13" man="1"/>
        <brk id="25" max="13" man="1"/>
        <brk id="26" max="13" man="1"/>
        <brk id="29" max="13" man="1"/>
        <brk id="32" max="13" man="1"/>
        <brk id="34" max="13" man="1"/>
        <brk id="37" max="13" man="1"/>
        <brk id="39" max="13" man="1"/>
        <brk id="40" max="13" man="1"/>
        <brk id="42" max="13" man="1"/>
        <brk id="45" max="13" man="1"/>
        <brk id="47" max="13" man="1"/>
        <brk id="50" max="13" man="1"/>
        <brk id="51" max="13" man="1"/>
        <brk id="55" max="13" man="1"/>
        <brk id="57" max="13" man="1"/>
        <brk id="58" max="13" man="1"/>
        <brk id="60" max="13" man="1"/>
        <brk id="61" max="13" man="1"/>
        <brk id="66" max="13" man="1"/>
        <brk id="68" max="13" man="1"/>
        <brk id="69" max="13" man="1"/>
        <brk id="70" max="13" man="1"/>
        <brk id="71" max="13" man="1"/>
        <brk id="74" max="13" man="1"/>
        <brk id="75" max="13" man="1"/>
        <brk id="77" max="13" man="1"/>
        <brk id="83" max="13" man="1"/>
        <brk id="85" max="13" man="1"/>
        <brk id="91" max="13" man="1"/>
        <brk id="93" max="13" man="1"/>
        <brk id="98" max="13" man="1"/>
        <brk id="99" max="13" man="1"/>
        <brk id="100" max="13" man="1"/>
        <brk id="102" max="13" man="1"/>
        <brk id="106" max="13" man="1"/>
        <brk id="107" max="13" man="1"/>
        <brk id="110" max="13" man="1"/>
        <brk id="112" max="13" man="1"/>
        <brk id="115" max="13" man="1"/>
        <brk id="117" max="13" man="1"/>
        <brk id="119" max="13" man="1"/>
        <brk id="127" max="13" man="1"/>
        <brk id="129" max="13" man="1"/>
        <brk id="130" max="13" man="1"/>
        <brk id="140" max="13" man="1"/>
        <brk id="147" max="13" man="1"/>
        <brk id="148" max="13" man="1"/>
        <brk id="160" max="13" man="1"/>
        <brk id="161" max="13" man="1"/>
        <brk id="163" max="13" man="1"/>
        <brk id="167" max="13" man="1"/>
        <brk id="182" max="13" man="1"/>
        <brk id="190" max="13" man="1"/>
        <brk id="191" max="13" man="1"/>
        <brk id="192" max="13" man="1"/>
        <brk id="210" max="13" man="1"/>
        <brk id="215" max="13" man="1"/>
        <brk id="216" max="13" man="1"/>
        <brk id="227" max="13" man="1"/>
        <brk id="232" max="13" man="1"/>
        <brk id="233" max="13" man="1"/>
      </rowBreaks>
      <pageMargins left="0.27559055118110237" right="0.19685039370078741" top="0.33" bottom="0.4" header="0.15748031496062992" footer="0.19685039370078741"/>
      <pageSetup paperSize="9" scale="95" fitToHeight="18" orientation="landscape" blackAndWhite="1" horizontalDpi="4294967292" verticalDpi="4294967292" r:id="rId22"/>
      <headerFooter alignWithMargins="0">
        <oddFooter>&amp;R&amp;"Arial Narrow,обычный"&amp;8Лист &amp;P из &amp;N</oddFooter>
      </headerFooter>
    </customSheetView>
    <customSheetView guid="{4F278C51-CC0C-4908-B19B-FD853FE30C23}" showPageBreaks="1" fitToPage="1" printArea="1" hiddenRows="1" view="pageBreakPreview" showRuler="0">
      <pane ySplit="4" topLeftCell="A5" activePane="bottomLeft" state="frozen"/>
      <selection pane="bottomLeft" activeCell="A17" activeCellId="15" sqref="A92:IV92 A89:IV89 A85:IV86 A74:IV75 A64:IV64 A61:IV61 A54:IV56 A46:IV46 A43:IV43 A41:IV41 A37:IV37 A35:IV35 A34:IV34 A25:IV26 A23:IV23 A16:IV17"/>
      <pageMargins left="0.19685039370078741" right="0.19685039370078741" top="0.31496062992125984" bottom="0.39370078740157483" header="0.15748031496062992" footer="0.19685039370078741"/>
      <pageSetup paperSize="9" scale="94" fitToHeight="0" orientation="landscape" blackAndWhite="1" horizontalDpi="4294967292" verticalDpi="4294967292" r:id="rId23"/>
      <headerFooter alignWithMargins="0">
        <oddFooter>&amp;R&amp;"Arial Narrow,обычный"&amp;8Лист &amp;P из &amp;N</oddFooter>
      </headerFooter>
    </customSheetView>
    <customSheetView guid="{19D3A214-C4D6-4FE6-9A50-A9E846DFEC72}" fitToPage="1" printArea="1" view="pageBreakPreview" showRuler="0" topLeftCell="A43">
      <selection activeCell="C68" sqref="C68"/>
      <rowBreaks count="97" manualBreakCount="97">
        <brk id="13" max="10" man="1"/>
        <brk id="15" max="10" man="1"/>
        <brk id="17" max="16383" man="1"/>
        <brk id="22" max="10" man="1"/>
        <brk id="25" max="10" man="1"/>
        <brk id="27" max="10" man="1"/>
        <brk id="28" max="10" man="1"/>
        <brk id="29" max="10" man="1"/>
        <brk id="30" max="10" man="1"/>
        <brk id="31" max="10" man="1"/>
        <brk id="32" max="10" man="1"/>
        <brk id="34" max="10" man="1"/>
        <brk id="36" max="16383" man="1"/>
        <brk id="38" max="10" man="1"/>
        <brk id="39" max="10" man="1"/>
        <brk id="41" max="10" man="1"/>
        <brk id="43" max="10" man="1"/>
        <brk id="44" max="16383" man="1"/>
        <brk id="45" max="10" man="1"/>
        <brk id="47" max="10" man="1"/>
        <brk id="48" max="10" man="1"/>
        <brk id="49" max="10" man="1"/>
        <brk id="50" max="10" man="1"/>
        <brk id="51" max="16383" man="1"/>
        <brk id="53" max="10" man="1"/>
        <brk id="54" max="10" man="1"/>
        <brk id="55" max="10" man="1"/>
        <brk id="56" max="10" man="1"/>
        <brk id="59" max="10" man="1"/>
        <brk id="63" max="10" man="1"/>
        <brk id="64" max="10" man="1"/>
        <brk id="65" max="16383" man="1"/>
        <brk id="66" max="10" man="1"/>
        <brk id="67" max="16383" man="1"/>
        <brk id="68" max="10" man="1"/>
        <brk id="69" max="10" man="1"/>
        <brk id="70" max="10" man="1"/>
        <brk id="71" max="10" man="1"/>
        <brk id="72" max="10" man="1"/>
        <brk id="73" max="10" man="1"/>
        <brk id="74" max="10" man="1"/>
        <brk id="76" max="16383" man="1"/>
        <brk id="77" max="10" man="1"/>
        <brk id="78" max="10" man="1"/>
        <brk id="79" max="10" man="1"/>
        <brk id="81" max="16383" man="1"/>
        <brk id="82" max="10" man="1"/>
        <brk id="83" max="10" man="1"/>
        <brk id="84" max="10" man="1"/>
        <brk id="85" max="10" man="1"/>
        <brk id="87" max="10" man="1"/>
        <brk id="88" max="10" man="1"/>
        <brk id="90" max="10" man="1"/>
        <brk id="91" max="16383" man="1"/>
        <brk id="92" max="10" man="1"/>
        <brk id="94" max="10" man="1"/>
        <brk id="95" max="10" man="1"/>
        <brk id="96" max="10" man="1"/>
        <brk id="97" max="16383" man="1"/>
        <brk id="99" max="10" man="1"/>
        <brk id="100" max="10" man="1"/>
        <brk id="101" max="10" man="1"/>
        <brk id="103" max="10" man="1"/>
        <brk id="104" max="16383" man="1"/>
        <brk id="105" max="16383" man="1"/>
        <brk id="107" max="10" man="1"/>
        <brk id="108" max="13" man="1"/>
        <brk id="109" max="16383" man="1"/>
        <brk id="110" max="13" man="1"/>
        <brk id="112" max="13" man="1"/>
        <brk id="115" max="13" man="1"/>
        <brk id="116" max="13" man="1"/>
        <brk id="118" max="13" man="1"/>
        <brk id="119" max="13" man="1"/>
        <brk id="126" max="13" man="1"/>
        <brk id="132" max="13" man="1"/>
        <brk id="133" max="13" man="1"/>
        <brk id="134" max="13" man="1"/>
        <brk id="137" max="13" man="1"/>
        <brk id="138" max="16383" man="1"/>
        <brk id="141" max="13" man="1"/>
        <brk id="143" max="16383" man="1"/>
        <brk id="145" max="16383" man="1"/>
        <brk id="146" max="13" man="1"/>
        <brk id="147" max="13" man="1"/>
        <brk id="148" max="13" man="1"/>
        <brk id="154" max="13" man="1"/>
        <brk id="156" max="13" man="1"/>
        <brk id="161" max="13" man="1"/>
        <brk id="163" max="13" man="1"/>
        <brk id="166" max="13" man="1"/>
        <brk id="168" max="13" man="1"/>
        <brk id="176" max="13" man="1"/>
        <brk id="177" max="16383" man="1"/>
        <brk id="185" max="13" man="1"/>
        <brk id="189" max="13" man="1"/>
        <brk id="197" max="13" man="1"/>
      </rowBreaks>
      <pageMargins left="0.27559055118110237" right="0.19685039370078741" top="0.33" bottom="0.4" header="0.15748031496062992" footer="0.19685039370078741"/>
      <pageSetup paperSize="9" fitToHeight="14" orientation="landscape" blackAndWhite="1" horizontalDpi="4294967292" verticalDpi="4294967292" r:id="rId24"/>
      <headerFooter alignWithMargins="0">
        <oddFooter>&amp;R&amp;"Arial Narrow,обычный"&amp;8Лист &amp;P из &amp;N</oddFooter>
      </headerFooter>
    </customSheetView>
    <customSheetView guid="{A3331C67-8A36-4D51-83F9-2D71D6F5E7BA}" fitToPage="1" showRuler="0" topLeftCell="A67">
      <selection activeCell="E107" sqref="E107"/>
      <rowBreaks count="42" manualBreakCount="42">
        <brk id="13" max="13" man="1"/>
        <brk id="15" max="16383" man="1"/>
        <brk id="19" max="13" man="1"/>
        <brk id="22" max="13" man="1"/>
        <brk id="24" max="13" man="1"/>
        <brk id="25" max="13" man="1"/>
        <brk id="26" max="16383" man="1"/>
        <brk id="28" max="13" man="1"/>
        <brk id="29" max="13" man="1"/>
        <brk id="30" max="13" man="1"/>
        <brk id="31" max="13" man="1"/>
        <brk id="32" max="16383" man="1"/>
        <brk id="34" max="13" man="1"/>
        <brk id="35" max="13" man="1"/>
        <brk id="36" max="16383" man="1"/>
        <brk id="39" max="16383" man="1"/>
        <brk id="40" max="13" man="1"/>
        <brk id="41" max="13" man="1"/>
        <brk id="42" max="13" man="1"/>
        <brk id="44" max="13" man="1"/>
        <brk id="45" max="13" man="1"/>
        <brk id="46" max="13" man="1"/>
        <brk id="47" max="13" man="1"/>
        <brk id="50" max="13" man="1"/>
        <brk id="51" max="16383" man="1"/>
        <brk id="54" max="13" man="1"/>
        <brk id="69" max="16383" man="1"/>
        <brk id="71" max="16383" man="1"/>
        <brk id="72" max="13" man="1"/>
        <brk id="73" max="13" man="1"/>
        <brk id="74" max="13" man="1"/>
        <brk id="76" max="13" man="1"/>
        <brk id="81" max="13" man="1"/>
        <brk id="83" max="13" man="1"/>
        <brk id="90" max="16383" man="1"/>
        <brk id="91" max="13" man="1"/>
        <brk id="93" max="13" man="1"/>
        <brk id="94" max="13" man="1"/>
        <brk id="97" max="13" man="1"/>
        <brk id="102" max="13" man="1"/>
        <brk id="106" max="13" man="1"/>
        <brk id="114" max="13" man="1"/>
      </rowBreaks>
      <pageMargins left="0.27559055118110237" right="0.19685039370078741" top="0.33" bottom="0.4" header="0.15748031496062992" footer="0.19685039370078741"/>
      <pageSetup paperSize="9" scale="92" fitToHeight="14" orientation="landscape" blackAndWhite="1" horizontalDpi="4294967292" verticalDpi="4294967292" r:id="rId25"/>
      <headerFooter alignWithMargins="0">
        <oddFooter>&amp;R&amp;"Arial Narrow,обычный"&amp;8Лист &amp;P из &amp;N</oddFooter>
      </headerFooter>
    </customSheetView>
    <customSheetView guid="{DD5C3F45-D2CB-45EC-9051-F348430664E8}" scale="110" fitToPage="1" printArea="1" hiddenRows="1" hiddenColumns="1" showRuler="0">
      <pane ySplit="5" topLeftCell="A138" activePane="bottomLeft" state="frozenSplit"/>
      <selection pane="bottomLeft" activeCell="F153" sqref="F153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7" max="12" man="1"/>
        <brk id="78" max="12" man="1"/>
        <brk id="79" max="12" man="1"/>
        <brk id="82" max="12" man="1"/>
        <brk id="94" max="16383" man="1"/>
        <brk id="102" max="12" man="1"/>
        <brk id="103" max="16383" man="1"/>
        <brk id="106" max="12" man="1"/>
        <brk id="112" max="12" man="1"/>
        <brk id="113" max="12" man="1"/>
        <brk id="167" max="12" man="1"/>
        <brk id="175" max="12" man="1"/>
        <brk id="176" max="12" man="1"/>
        <brk id="177" max="16383" man="1"/>
        <brk id="179" max="12" man="1"/>
        <brk id="180" max="12" man="1"/>
        <brk id="183" max="16383" man="1"/>
        <brk id="184" max="16383" man="1"/>
        <brk id="187" max="13" man="1"/>
        <brk id="188" max="16383" man="1"/>
        <brk id="189" max="13" man="1"/>
        <brk id="191" max="13" man="1"/>
        <brk id="194" max="13" man="1"/>
        <brk id="195" max="13" man="1"/>
        <brk id="197" max="13" man="1"/>
        <brk id="198" max="13" man="1"/>
        <brk id="205" max="13" man="1"/>
        <brk id="211" max="13" man="1"/>
        <brk id="212" max="13" man="1"/>
        <brk id="213" max="13" man="1"/>
        <brk id="216" max="13" man="1"/>
        <brk id="217" max="16383" man="1"/>
        <brk id="220" max="13" man="1"/>
        <brk id="222" max="16383" man="1"/>
        <brk id="224" max="16383" man="1"/>
        <brk id="225" max="13" man="1"/>
        <brk id="226" max="13" man="1"/>
        <brk id="227" max="13" man="1"/>
        <brk id="233" max="13" man="1"/>
        <brk id="235" max="13" man="1"/>
        <brk id="240" max="13" man="1"/>
        <brk id="242" max="13" man="1"/>
        <brk id="245" max="13" man="1"/>
        <brk id="247" max="13" man="1"/>
        <brk id="255" max="13" man="1"/>
        <brk id="256" max="16383" man="1"/>
        <brk id="264" max="13" man="1"/>
        <brk id="268" max="13" man="1"/>
        <brk id="276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14" orientation="landscape" blackAndWhite="1" horizontalDpi="4294967292" verticalDpi="4294967292" r:id="rId26"/>
      <headerFooter alignWithMargins="0">
        <oddFooter>&amp;R&amp;"Arial Narrow,обычный"&amp;8Лист &amp;P из &amp;N</oddFooter>
      </headerFooter>
    </customSheetView>
    <customSheetView guid="{91C1DC54-C312-471D-9246-B789B002B742}" fitToPage="1" printArea="1" hiddenRows="1" showRuler="0">
      <pane ySplit="5" topLeftCell="A135" activePane="bottomLeft" state="frozenSplit"/>
      <selection pane="bottomLeft" activeCell="F148" sqref="F148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2" max="12" man="1"/>
        <brk id="53" max="12" man="1"/>
        <brk id="57" max="12" man="1"/>
        <brk id="73" max="12" man="1"/>
        <brk id="75" max="12" man="1"/>
        <brk id="76" max="12" man="1"/>
        <brk id="79" max="12" man="1"/>
        <brk id="89" max="16383" man="1"/>
        <brk id="95" max="12" man="1"/>
        <brk id="96" max="16383" man="1"/>
        <brk id="99" max="12" man="1"/>
        <brk id="105" max="12" man="1"/>
        <brk id="106" max="12" man="1"/>
        <brk id="166" max="12" man="1"/>
        <brk id="174" max="12" man="1"/>
        <brk id="175" max="12" man="1"/>
        <brk id="176" max="16383" man="1"/>
        <brk id="178" max="12" man="1"/>
        <brk id="179" max="12" man="1"/>
        <brk id="182" max="16383" man="1"/>
        <brk id="183" max="16383" man="1"/>
        <brk id="186" max="13" man="1"/>
        <brk id="187" max="16383" man="1"/>
        <brk id="188" max="13" man="1"/>
        <brk id="190" max="13" man="1"/>
        <brk id="193" max="13" man="1"/>
        <brk id="194" max="13" man="1"/>
        <brk id="196" max="13" man="1"/>
        <brk id="197" max="13" man="1"/>
        <brk id="204" max="13" man="1"/>
        <brk id="210" max="13" man="1"/>
        <brk id="211" max="13" man="1"/>
        <brk id="212" max="13" man="1"/>
        <brk id="215" max="13" man="1"/>
        <brk id="216" max="16383" man="1"/>
        <brk id="219" max="13" man="1"/>
        <brk id="221" max="16383" man="1"/>
        <brk id="223" max="16383" man="1"/>
        <brk id="224" max="13" man="1"/>
        <brk id="225" max="13" man="1"/>
        <brk id="226" max="13" man="1"/>
        <brk id="232" max="13" man="1"/>
        <brk id="234" max="13" man="1"/>
        <brk id="239" max="13" man="1"/>
        <brk id="241" max="13" man="1"/>
        <brk id="244" max="13" man="1"/>
        <brk id="246" max="13" man="1"/>
        <brk id="254" max="13" man="1"/>
        <brk id="255" max="16383" man="1"/>
        <brk id="263" max="13" man="1"/>
        <brk id="267" max="13" man="1"/>
        <brk id="275" max="13" man="1"/>
      </rowBreaks>
      <pageMargins left="0.27559055118110237" right="0.19685039370078741" top="0.31496062992125984" bottom="0.39370078740157483" header="0.15748031496062992" footer="0.19685039370078741"/>
      <pageSetup paperSize="9" scale="88" fitToHeight="14" orientation="landscape" blackAndWhite="1" horizontalDpi="4294967292" verticalDpi="4294967292" r:id="rId27"/>
      <headerFooter alignWithMargins="0">
        <oddFooter>&amp;R&amp;"Arial Narrow,обычный"&amp;8Лист &amp;P из &amp;N</oddFooter>
      </headerFooter>
    </customSheetView>
    <customSheetView guid="{C76330A2-057D-4E27-B720-532A3C304D14}" scale="110" fitToPage="1" printArea="1" hiddenRows="1" showRuler="0">
      <pane ySplit="5" topLeftCell="A38" activePane="bottomLeft" state="frozenSplit"/>
      <selection pane="bottomLeft" activeCell="A42" sqref="A42:B42"/>
      <rowBreaks count="66" manualBreakCount="66">
        <brk id="13" max="16383" man="1"/>
        <brk id="18" max="12" man="1"/>
        <brk id="21" max="12" man="1"/>
        <brk id="23" max="12" man="1"/>
        <brk id="29" max="12" man="1"/>
        <brk id="35" max="16383" man="1"/>
        <brk id="46" max="12" man="1"/>
        <brk id="47" max="12" man="1"/>
        <brk id="48" max="12" man="1"/>
        <brk id="49" max="12" man="1"/>
        <brk id="50" max="16383" man="1"/>
        <brk id="51" max="12" man="1"/>
        <brk id="52" max="12" man="1"/>
        <brk id="54" max="12" man="1"/>
        <brk id="55" max="12" man="1"/>
        <brk id="56" max="12" man="1"/>
        <brk id="60" max="12" man="1"/>
        <brk id="76" max="12" man="1"/>
        <brk id="77" max="12" man="1"/>
        <brk id="78" max="12" man="1"/>
        <brk id="81" max="12" man="1"/>
        <brk id="90" max="16383" man="1"/>
        <brk id="98" max="12" man="1"/>
        <brk id="99" max="16383" man="1"/>
        <brk id="102" max="12" man="1"/>
        <brk id="108" max="12" man="1"/>
        <brk id="109" max="12" man="1"/>
        <brk id="169" max="12" man="1"/>
        <brk id="177" max="12" man="1"/>
        <brk id="178" max="12" man="1"/>
        <brk id="179" max="16383" man="1"/>
        <brk id="181" max="12" man="1"/>
        <brk id="182" max="12" man="1"/>
        <brk id="185" max="16383" man="1"/>
        <brk id="186" max="16383" man="1"/>
        <brk id="189" max="13" man="1"/>
        <brk id="190" max="16383" man="1"/>
        <brk id="191" max="13" man="1"/>
        <brk id="193" max="13" man="1"/>
        <brk id="196" max="13" man="1"/>
        <brk id="197" max="13" man="1"/>
        <brk id="199" max="13" man="1"/>
        <brk id="200" max="13" man="1"/>
        <brk id="207" max="13" man="1"/>
        <brk id="213" max="13" man="1"/>
        <brk id="214" max="13" man="1"/>
        <brk id="215" max="13" man="1"/>
        <brk id="218" max="13" man="1"/>
        <brk id="219" max="16383" man="1"/>
        <brk id="222" max="13" man="1"/>
        <brk id="224" max="16383" man="1"/>
        <brk id="226" max="16383" man="1"/>
        <brk id="227" max="13" man="1"/>
        <brk id="228" max="13" man="1"/>
        <brk id="229" max="13" man="1"/>
        <brk id="235" max="13" man="1"/>
        <brk id="237" max="13" man="1"/>
        <brk id="242" max="13" man="1"/>
        <brk id="244" max="13" man="1"/>
        <brk id="247" max="13" man="1"/>
        <brk id="249" max="13" man="1"/>
        <brk id="257" max="13" man="1"/>
        <brk id="258" max="16383" man="1"/>
        <brk id="266" max="13" man="1"/>
        <brk id="270" max="13" man="1"/>
        <brk id="278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8"/>
      <headerFooter alignWithMargins="0">
        <oddFooter>&amp;R&amp;"Arial Narrow,обычный"&amp;8Лист &amp;P из &amp;N</oddFooter>
      </headerFooter>
    </customSheetView>
  </customSheetViews>
  <mergeCells count="14">
    <mergeCell ref="I230:I231"/>
    <mergeCell ref="L230:L231"/>
    <mergeCell ref="M230:M231"/>
    <mergeCell ref="I1:N1"/>
    <mergeCell ref="N230:N231"/>
    <mergeCell ref="A2:M2"/>
    <mergeCell ref="C230:C231"/>
    <mergeCell ref="D230:D231"/>
    <mergeCell ref="H230:H231"/>
    <mergeCell ref="E230:E231"/>
    <mergeCell ref="J230:J231"/>
    <mergeCell ref="G230:G231"/>
    <mergeCell ref="F230:F231"/>
    <mergeCell ref="K230:K23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0" orientation="portrait" blackAndWhite="1" horizontalDpi="4294967292" verticalDpi="4294967292" r:id="rId29"/>
  <headerFooter alignWithMargins="0">
    <oddFooter>&amp;R&amp;"Arial Narrow,обычный"&amp;8Лист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Анализ бюджета</vt:lpstr>
      <vt:lpstr>Всего_доходов_2003</vt:lpstr>
      <vt:lpstr>Всего_расходов_2003</vt:lpstr>
      <vt:lpstr>'Анализ бюджета'!Заголовки_для_печати</vt:lpstr>
      <vt:lpstr>'Анализ бюджета'!Область_печати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Бюджетный отдел</dc:creator>
  <cp:lastModifiedBy>admin</cp:lastModifiedBy>
  <cp:lastPrinted>2020-10-13T09:30:22Z</cp:lastPrinted>
  <dcterms:created xsi:type="dcterms:W3CDTF">1998-04-06T06:06:47Z</dcterms:created>
  <dcterms:modified xsi:type="dcterms:W3CDTF">2020-10-13T09:31:00Z</dcterms:modified>
</cp:coreProperties>
</file>