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60" windowWidth="12120" windowHeight="9120"/>
  </bookViews>
  <sheets>
    <sheet name="Анализ бюджета" sheetId="1" r:id="rId1"/>
  </sheets>
  <definedNames>
    <definedName name="Z_08EF82CC_B73D_4976_854E_2FADDE1EDAB4_.wvu.PrintArea" localSheetId="0" hidden="1">'Анализ бюджета'!$A$1:$L$241</definedName>
    <definedName name="Z_08EF82CC_B73D_4976_854E_2FADDE1EDAB4_.wvu.PrintTitles" localSheetId="0" hidden="1">'Анализ бюджета'!$4:$5</definedName>
    <definedName name="Z_0BD4437E_22A9_4FBD_A5E2_5BE85718F571_.wvu.PrintArea" localSheetId="0" hidden="1">'Анализ бюджета'!$A$1:$L$241</definedName>
    <definedName name="Z_0BD4437E_22A9_4FBD_A5E2_5BE85718F571_.wvu.PrintTitles" localSheetId="0" hidden="1">'Анализ бюджета'!$4:$5</definedName>
    <definedName name="Z_10971261_6A6B_11D7_802E_0050224027E0_.wvu.PrintArea" localSheetId="0" hidden="1">'Анализ бюджета'!$A$1:$K$240</definedName>
    <definedName name="Z_10971261_6A6B_11D7_802E_0050224027E0_.wvu.PrintTitles" localSheetId="0" hidden="1">'Анализ бюджета'!$4:$4</definedName>
    <definedName name="Z_14012921_CBF7_11D7_980F_000102998381_.wvu.PrintTitles" localSheetId="0" hidden="1">'Анализ бюджета'!$4:$4</definedName>
    <definedName name="Z_19D3A214_C4D6_4FE6_9A50_A9E846DFEC72_.wvu.PrintArea" localSheetId="0" hidden="1">'Анализ бюджета'!$A$1:$K$241</definedName>
    <definedName name="Z_4F278C51_CC0C_4908_B19B_FD853FE30C23_.wvu.PrintArea" localSheetId="0" hidden="1">'Анализ бюджета'!$A$1:$K$240</definedName>
    <definedName name="Z_4F278C51_CC0C_4908_B19B_FD853FE30C23_.wvu.PrintTitles" localSheetId="0" hidden="1">'Анализ бюджета'!$4:$4</definedName>
    <definedName name="Z_4F278C51_CC0C_4908_B19B_FD853FE30C23_.wvu.Rows" localSheetId="0" hidden="1">'Анализ бюджета'!#REF!,'Анализ бюджета'!$17:$17,'Анализ бюджета'!$19:$20,'Анализ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6B5A71DB_8104_43F2_BE21_9362D50D2638_.wvu.PrintArea" localSheetId="0" hidden="1">'Анализ бюджета'!$A$1:$L$241</definedName>
    <definedName name="Z_6B5A71DB_8104_43F2_BE21_9362D50D2638_.wvu.PrintTitles" localSheetId="0" hidden="1">'Анализ бюджета'!$4:$5</definedName>
    <definedName name="Z_6B5A71DB_8104_43F2_BE21_9362D50D2638_.wvu.Rows" localSheetId="0" hidden="1">'Анализ бюджета'!$41:$42,'Анализ бюджета'!$54:$55,'Анализ бюджета'!$182:$182</definedName>
    <definedName name="Z_735893B7_5E6F_4E87_8F79_7422E435EC59_.wvu.PrintArea" localSheetId="0" hidden="1">'Анализ бюджета'!$A$1:$K$243</definedName>
    <definedName name="Z_7BE5A02B_F350_49A6_9913_9C71C08559EF_.wvu.Rows" localSheetId="0" hidden="1">'Анализ бюджета'!#REF!</definedName>
    <definedName name="Z_88FCA060_646D_11D8_9232_00C0268CB387_.wvu.Rows" localSheetId="0" hidden="1">'Анализ бюджета'!$32:$38</definedName>
    <definedName name="Z_8F58F720_5478_11D7_8E43_00002120D636_.wvu.PrintArea" localSheetId="0" hidden="1">'Анализ бюджета'!$A$2:$K$62</definedName>
    <definedName name="Z_8F58F720_5478_11D7_8E43_00002120D636_.wvu.PrintTitles" localSheetId="0" hidden="1">'Анализ бюджета'!$4:$4</definedName>
    <definedName name="Z_91C1DC54_C312_471D_9246_B789B002B742_.wvu.PrintArea" localSheetId="0" hidden="1">'Анализ бюджета'!$A$1:$L$241</definedName>
    <definedName name="Z_91C1DC54_C312_471D_9246_B789B002B742_.wvu.PrintTitles" localSheetId="0" hidden="1">'Анализ бюджета'!$4:$5</definedName>
    <definedName name="Z_91C1DC54_C312_471D_9246_B789B002B742_.wvu.Rows" localSheetId="0" hidden="1">'Анализ бюджета'!$41:$42,'Анализ бюджета'!$54:$55,'Анализ бюджета'!#REF!,'Анализ бюджета'!$182:$182</definedName>
    <definedName name="Z_92DADDC1_9BFC_11D7_B114_000102998381_.wvu.PrintTitles" localSheetId="0" hidden="1">'Анализ бюджета'!$4:$4</definedName>
    <definedName name="Z_97B5DCE1_CCA4_11D7_B6CC_0007E980B7D4_.wvu.PrintArea" localSheetId="0" hidden="1">'Анализ бюджета'!$A$1:$K$243</definedName>
    <definedName name="Z_97B5DCE1_CCA4_11D7_B6CC_0007E980B7D4_.wvu.Rows" localSheetId="0" hidden="1">'Анализ бюджета'!#REF!,'Анализ бюджета'!$32:$38</definedName>
    <definedName name="Z_A91D99C2_8122_48C0_91AB_172E51C62B1D_.wvu.PrintArea" localSheetId="0" hidden="1">'Анализ бюджета'!$A$1:$K$240</definedName>
    <definedName name="Z_A91D99C2_8122_48C0_91AB_172E51C62B1D_.wvu.Rows" localSheetId="0" hidden="1">'Анализ бюджета'!#REF!</definedName>
    <definedName name="Z_AE4F8834_9834_4486_A1C0_FEF04E11EC4A_.wvu.PrintTitles" localSheetId="0" hidden="1">'Анализ бюджета'!$4:$4</definedName>
    <definedName name="Z_B0C63354_C39E_4697_B077_F68D4BA3474A_.wvu.PrintTitles" localSheetId="0" hidden="1">'Анализ бюджета'!$4:$4</definedName>
    <definedName name="Z_C76330A2_057D_4E27_B720_532A3C304D14_.wvu.PrintArea" localSheetId="0" hidden="1">'Анализ бюджета'!$A$1:$L$241</definedName>
    <definedName name="Z_C76330A2_057D_4E27_B720_532A3C304D14_.wvu.PrintTitles" localSheetId="0" hidden="1">'Анализ бюджета'!$4:$5</definedName>
    <definedName name="Z_C76330A2_057D_4E27_B720_532A3C304D14_.wvu.Rows" localSheetId="0" hidden="1">'Анализ бюджета'!$182:$182</definedName>
    <definedName name="Z_CD228F81_555E_11D7_A5BE_0050BF58DBA5_.wvu.PrintTitles" localSheetId="0" hidden="1">'Анализ бюджета'!$4:$4</definedName>
    <definedName name="Z_CFB674C1_F40C_43C9_AC2B_719C7269531B_.wvu.PrintArea" localSheetId="0" hidden="1">'Анализ бюджета'!$A$1:$K$240</definedName>
    <definedName name="Z_CFB674C1_F40C_43C9_AC2B_719C7269531B_.wvu.PrintTitles" localSheetId="0" hidden="1">'Анализ бюджета'!$4:$4</definedName>
    <definedName name="Z_CFB674C1_F40C_43C9_AC2B_719C7269531B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D8CBB260_8D05_11D7_88E1_00C0268016AF_.wvu.PrintTitles" localSheetId="0" hidden="1">'Анализ бюджета'!$4:$4</definedName>
    <definedName name="Z_DCFE9E60_5475_11D7_802E_0050224027E0_.wvu.PrintTitles" localSheetId="0" hidden="1">'Анализ бюджета'!$4:$4</definedName>
    <definedName name="Z_DD5C3F45_D2CB_45EC_9051_F348430664E8_.wvu.Cols" localSheetId="0" hidden="1">'Анализ бюджета'!#REF!</definedName>
    <definedName name="Z_DD5C3F45_D2CB_45EC_9051_F348430664E8_.wvu.PrintArea" localSheetId="0" hidden="1">'Анализ бюджета'!$A$1:$L$241</definedName>
    <definedName name="Z_DD5C3F45_D2CB_45EC_9051_F348430664E8_.wvu.PrintTitles" localSheetId="0" hidden="1">'Анализ бюджета'!$4:$5</definedName>
    <definedName name="Z_DD5C3F45_D2CB_45EC_9051_F348430664E8_.wvu.Rows" localSheetId="0" hidden="1">'Анализ бюджета'!$41:$42,'Анализ бюджета'!$54:$55,'Анализ бюджета'!$182:$182</definedName>
    <definedName name="Z_E64E5F61_FD5E_11DA_AA5B_0004761D6C8E_.wvu.PrintArea" localSheetId="0" hidden="1">'Анализ бюджета'!$A$1:$K$240</definedName>
    <definedName name="Z_E64E5F61_FD5E_11DA_AA5B_0004761D6C8E_.wvu.PrintTitles" localSheetId="0" hidden="1">'Анализ бюджета'!$4:$4</definedName>
    <definedName name="Z_E64E5F61_FD5E_11DA_AA5B_0004761D6C8E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Всего_доходов_2002">'Анализ бюджета'!#REF!</definedName>
    <definedName name="Всего_доходов_2003">'Анализ бюджета'!$G$61</definedName>
    <definedName name="Всего_расходов_2002">'Анализ бюджета'!#REF!</definedName>
    <definedName name="Всего_расходов_2003">'Анализ бюджета'!$G$166</definedName>
    <definedName name="_xlnm.Print_Titles" localSheetId="0">'Анализ бюджета'!$4:$5</definedName>
    <definedName name="_xlnm.Print_Area" localSheetId="0">'Анализ бюджета'!$A$1:$L$236</definedName>
  </definedNames>
  <calcPr calcId="125725" fullPrecision="0"/>
  <customWorkbookViews>
    <customWorkbookView name="Прокопенко - Личное представление" guid="{0BD4437E-22A9-4FBD-A5E2-5BE85718F571}" mergeInterval="0" personalView="1" maximized="1" xWindow="1" yWindow="1" windowWidth="1276" windowHeight="803" activeSheetId="1"/>
    <customWorkbookView name="odegovann - Личное представление" guid="{08EF82CC-B73D-4976-854E-2FADDE1EDAB4}" mergeInterval="0" personalView="1" maximized="1" xWindow="1" yWindow="1" windowWidth="1276" windowHeight="803" activeSheetId="1"/>
    <customWorkbookView name="Степанченко Ю.В. - Личное представление" guid="{6B5A71DB-8104-43F2-BE21-9362D50D2638}" mergeInterval="0" personalView="1" maximized="1" xWindow="1" yWindow="1" windowWidth="1276" windowHeight="803" activeSheetId="1"/>
    <customWorkbookView name="Лаврушин Д.Б. - Личное представление" guid="{D467516B-79C5-4C0A-A5E2-1E73FB77BFFC}" mergeInterval="0" personalView="1" maximized="1" windowWidth="1148" windowHeight="673" activeSheetId="1"/>
    <customWorkbookView name="Budg2 - Личное представление" guid="{7BE5A02B-F350-49A6-9913-9C71C08559EF}" mergeInterval="0" personalView="1" maximized="1" windowWidth="1009" windowHeight="588" activeSheetId="1"/>
    <customWorkbookView name="Сергей Медведев - Личное представление" guid="{14B9A1CF-2355-4181-A84E-C897271F378C}" mergeInterval="0" personalView="1" maximized="1" windowWidth="1148" windowHeight="692" tabRatio="184" activeSheetId="1"/>
    <customWorkbookView name="Якушина Л.А. - Личное представление" guid="{CFB674C1-F40C-43C9-AC2B-719C7269531B}" mergeInterval="0" personalView="1" maximized="1" windowWidth="1276" windowHeight="852" activeSheetId="1"/>
    <customWorkbookView name="МФ - Личное представление" guid="{E64E5F61-FD5E-11DA-AA5B-0004761D6C8E}" mergeInterval="0" personalView="1" maximized="1" windowWidth="796" windowHeight="438" activeSheetId="1"/>
    <customWorkbookView name="Лаврушин Дмитрий Борисович - Личное представление" guid="{D8CBB260-8D05-11D7-88E1-00C0268016AF}" mergeInterval="0" personalView="1" maximized="1" windowWidth="1020" windowHeight="606" activeSheetId="1" showComments="commNone"/>
    <customWorkbookView name="* - Личное представление" guid="{97B5DCE1-CCA4-11D7-B6CC-0007E980B7D4}" mergeInterval="0" personalView="1" maximized="1" windowWidth="1020" windowHeight="606" activeSheetId="1" showComments="commIndAndComment"/>
    <customWorkbookView name="Лариса - Личное представление" guid="{14012921-CBF7-11D7-980F-000102998381}" mergeInterval="0" personalView="1" maximized="1" windowWidth="1020" windowHeight="632" activeSheetId="1"/>
    <customWorkbookView name="_ - Личное представление" guid="{B0C63354-C39E-4697-B077-F68D4BA3474A}" mergeInterval="0" personalView="1" maximized="1" windowWidth="796" windowHeight="438" activeSheetId="1" showComments="commIndAndComment"/>
    <customWorkbookView name="Elena - Личное представление" guid="{8F58F720-5478-11D7-8E43-00002120D636}" mergeInterval="0" personalView="1" maximized="1" windowWidth="796" windowHeight="438" activeSheetId="1"/>
    <customWorkbookView name="oit - Личное представление" guid="{92DADDC1-9BFC-11D7-B114-000102998381}" mergeInterval="0" personalView="1" maximized="1" windowWidth="1020" windowHeight="579" activeSheetId="1"/>
    <customWorkbookView name="Tatyana - Личное представление" guid="{CD228F81-555E-11D7-A5BE-0050BF58DBA5}" mergeInterval="0" personalView="1" maximized="1" windowWidth="796" windowHeight="438" activeSheetId="1"/>
    <customWorkbookView name="Хламова - Личное представление" guid="{DCFE9E60-5475-11D7-802E-0050224027E0}" mergeInterval="0" personalView="1" maximized="1" windowWidth="796" windowHeight="456" activeSheetId="1" showStatusbar="0"/>
    <customWorkbookView name="Athlon - Личное представление" guid="{AE4F8834-9834-4486-A1C0-FEF04E11EC4A}" mergeInterval="0" personalView="1" maximized="1" windowWidth="1020" windowHeight="587" activeSheetId="1"/>
    <customWorkbookView name="serg - Личное представление" guid="{735893B7-5E6F-4E87-8F79-7422E435EC59}" mergeInterval="0" personalView="1" maximized="1" windowWidth="636" windowHeight="341" activeSheetId="1"/>
    <customWorkbookView name="MF - Личное представление" guid="{88FCA060-646D-11D8-9232-00C0268CB387}" mergeInterval="0" personalView="1" maximized="1" windowWidth="1020" windowHeight="606" activeSheetId="1"/>
    <customWorkbookView name="Budg_2 - Личное представление" guid="{3EDC6120-9ECF-11DA-86FE-0007E980B6BD}" mergeInterval="0" personalView="1" maximized="1" windowWidth="1020" windowHeight="606" activeSheetId="1"/>
    <customWorkbookView name="Трушина О.А. - Личное представление" guid="{A91D99C2-8122-48C0-91AB-172E51C62B1D}" mergeInterval="0" personalView="1" maximized="1" windowWidth="1276" windowHeight="884" tabRatio="126" activeSheetId="1"/>
    <customWorkbookView name="user - Личное представление" guid="{10971261-6A6B-11D7-802E-0050224027E0}" mergeInterval="0" personalView="1" maximized="1" xWindow="-9" yWindow="53" windowWidth="570" windowHeight="651" activeSheetId="1" showStatusbar="0"/>
    <customWorkbookView name="Сергей - Личное представление" guid="{4F278C51-CC0C-4908-B19B-FD853FE30C23}" mergeInterval="0" personalView="1" maximized="1" xWindow="1" yWindow="1" windowWidth="1280" windowHeight="806" tabRatio="205" activeSheetId="1"/>
    <customWorkbookView name="наташа - Личное представление" guid="{19D3A214-C4D6-4FE6-9A50-A9E846DFEC72}" mergeInterval="0" personalView="1" maximized="1" windowWidth="1276" windowHeight="884" activeSheetId="1"/>
    <customWorkbookView name="Fops - Личное представление" guid="{A3331C67-8A36-4D51-83F9-2D71D6F5E7BA}" mergeInterval="0" personalView="1" maximized="1" windowWidth="1020" windowHeight="614" activeSheetId="1" showStatusbar="0"/>
    <customWorkbookView name="vohmyakovaai - Личное представление" guid="{DD5C3F45-D2CB-45EC-9051-F348430664E8}" mergeInterval="0" personalView="1" maximized="1" xWindow="1" yWindow="1" windowWidth="1276" windowHeight="803" activeSheetId="1"/>
    <customWorkbookView name="haldeevagv - Личное представление" guid="{91C1DC54-C312-471D-9246-B789B002B742}" mergeInterval="0" personalView="1" maximized="1" xWindow="1" yWindow="1" windowWidth="1148" windowHeight="643" activeSheetId="1" showComments="commIndAndComment"/>
    <customWorkbookView name="taktashovaev - Личное представление" guid="{C76330A2-057D-4E27-B720-532A3C304D14}" mergeInterval="0" personalView="1" maximized="1" xWindow="1" yWindow="1" windowWidth="1276" windowHeight="739" activeSheetId="1"/>
  </customWorkbookViews>
</workbook>
</file>

<file path=xl/calcChain.xml><?xml version="1.0" encoding="utf-8"?>
<calcChain xmlns="http://schemas.openxmlformats.org/spreadsheetml/2006/main">
  <c r="F142" i="1"/>
  <c r="E148"/>
  <c r="E139"/>
  <c r="G139"/>
  <c r="E158"/>
  <c r="G148"/>
  <c r="I146"/>
  <c r="K146"/>
  <c r="L146"/>
  <c r="D139"/>
  <c r="K156"/>
  <c r="I156"/>
  <c r="J156"/>
  <c r="L156"/>
  <c r="K157"/>
  <c r="J157"/>
  <c r="L157"/>
  <c r="E127"/>
  <c r="E125"/>
  <c r="E118" s="1"/>
  <c r="G125"/>
  <c r="G118" s="1"/>
  <c r="D124"/>
  <c r="G127"/>
  <c r="D127"/>
  <c r="L131"/>
  <c r="K131"/>
  <c r="J131"/>
  <c r="I131"/>
  <c r="D125"/>
  <c r="E110"/>
  <c r="F110"/>
  <c r="G110"/>
  <c r="E99"/>
  <c r="E91"/>
  <c r="G99"/>
  <c r="G66"/>
  <c r="E66"/>
  <c r="G67"/>
  <c r="E67"/>
  <c r="E64" s="1"/>
  <c r="F67"/>
  <c r="D67"/>
  <c r="D64" s="1"/>
  <c r="C67"/>
  <c r="F64"/>
  <c r="F148"/>
  <c r="F145" s="1"/>
  <c r="F127"/>
  <c r="F125" s="1"/>
  <c r="F120"/>
  <c r="F122"/>
  <c r="F107"/>
  <c r="F139" l="1"/>
  <c r="D118"/>
  <c r="G201"/>
  <c r="E201"/>
  <c r="D201"/>
  <c r="D199" s="1"/>
  <c r="G189"/>
  <c r="G183"/>
  <c r="E189"/>
  <c r="E183"/>
  <c r="G168"/>
  <c r="G166" s="1"/>
  <c r="F166"/>
  <c r="E168"/>
  <c r="E166" s="1"/>
  <c r="D168"/>
  <c r="L57" l="1"/>
  <c r="K57"/>
  <c r="J57"/>
  <c r="I57"/>
  <c r="I50"/>
  <c r="I45"/>
  <c r="I46"/>
  <c r="D56" l="1"/>
  <c r="E56"/>
  <c r="F56"/>
  <c r="G56"/>
  <c r="C56"/>
  <c r="E51" l="1"/>
  <c r="F51"/>
  <c r="G51"/>
  <c r="D51"/>
  <c r="C51"/>
  <c r="L52"/>
  <c r="K52"/>
  <c r="J52"/>
  <c r="I52"/>
  <c r="I225" l="1"/>
  <c r="I226"/>
  <c r="I229"/>
  <c r="K228"/>
  <c r="K212"/>
  <c r="K204"/>
  <c r="K205"/>
  <c r="K206"/>
  <c r="K207"/>
  <c r="K173"/>
  <c r="K174"/>
  <c r="K159"/>
  <c r="K160"/>
  <c r="K162"/>
  <c r="K163"/>
  <c r="K164"/>
  <c r="K153"/>
  <c r="K155"/>
  <c r="K150"/>
  <c r="K149"/>
  <c r="K129"/>
  <c r="K132"/>
  <c r="K134"/>
  <c r="K135"/>
  <c r="K136"/>
  <c r="K137"/>
  <c r="K138"/>
  <c r="K141"/>
  <c r="K142"/>
  <c r="K143"/>
  <c r="K144"/>
  <c r="K145"/>
  <c r="K120"/>
  <c r="K121"/>
  <c r="K122"/>
  <c r="K124"/>
  <c r="K125"/>
  <c r="K127"/>
  <c r="K128"/>
  <c r="K10"/>
  <c r="K12"/>
  <c r="K15"/>
  <c r="K18"/>
  <c r="K20"/>
  <c r="K21"/>
  <c r="K24"/>
  <c r="K25"/>
  <c r="K26"/>
  <c r="K27"/>
  <c r="K28"/>
  <c r="K29"/>
  <c r="K31"/>
  <c r="K32"/>
  <c r="K33"/>
  <c r="K35"/>
  <c r="K37"/>
  <c r="K40"/>
  <c r="K43"/>
  <c r="K45"/>
  <c r="K46"/>
  <c r="K48"/>
  <c r="K49"/>
  <c r="K50"/>
  <c r="K53"/>
  <c r="K55"/>
  <c r="K58"/>
  <c r="J47"/>
  <c r="I153"/>
  <c r="I155"/>
  <c r="I143"/>
  <c r="I144"/>
  <c r="I150"/>
  <c r="I124"/>
  <c r="I125"/>
  <c r="I127"/>
  <c r="I129"/>
  <c r="I132"/>
  <c r="I135"/>
  <c r="I136"/>
  <c r="I137"/>
  <c r="I138"/>
  <c r="I120"/>
  <c r="I121"/>
  <c r="I107"/>
  <c r="I109"/>
  <c r="I110"/>
  <c r="I112"/>
  <c r="I113"/>
  <c r="I114"/>
  <c r="I116"/>
  <c r="I55"/>
  <c r="I58"/>
  <c r="I33"/>
  <c r="I35"/>
  <c r="I37"/>
  <c r="I32"/>
  <c r="G224"/>
  <c r="K109" l="1"/>
  <c r="K107"/>
  <c r="E38"/>
  <c r="D38"/>
  <c r="K101"/>
  <c r="I25" l="1"/>
  <c r="L25"/>
  <c r="L45"/>
  <c r="L46"/>
  <c r="L47"/>
  <c r="L48"/>
  <c r="L49"/>
  <c r="L50"/>
  <c r="L53"/>
  <c r="L55"/>
  <c r="L58"/>
  <c r="L60"/>
  <c r="J53"/>
  <c r="J55"/>
  <c r="J58"/>
  <c r="J60"/>
  <c r="J46"/>
  <c r="J48"/>
  <c r="J49"/>
  <c r="J50"/>
  <c r="D59"/>
  <c r="E59"/>
  <c r="F59"/>
  <c r="G59"/>
  <c r="C59"/>
  <c r="L59" l="1"/>
  <c r="J59"/>
  <c r="I178"/>
  <c r="I188"/>
  <c r="I193"/>
  <c r="I214"/>
  <c r="E199"/>
  <c r="C199"/>
  <c r="F199"/>
  <c r="G199"/>
  <c r="L212"/>
  <c r="J212"/>
  <c r="C145" l="1"/>
  <c r="C139" s="1"/>
  <c r="K139"/>
  <c r="G158"/>
  <c r="G91"/>
  <c r="G87"/>
  <c r="I148"/>
  <c r="E87"/>
  <c r="E117" l="1"/>
  <c r="I145"/>
  <c r="G117"/>
  <c r="D114"/>
  <c r="I139" l="1"/>
  <c r="C166"/>
  <c r="C165" s="1"/>
  <c r="F118"/>
  <c r="F158"/>
  <c r="F99"/>
  <c r="C118"/>
  <c r="D99"/>
  <c r="D87"/>
  <c r="J193"/>
  <c r="C195"/>
  <c r="E195"/>
  <c r="F195"/>
  <c r="G195"/>
  <c r="D195"/>
  <c r="L197"/>
  <c r="D180"/>
  <c r="D179" s="1"/>
  <c r="D166"/>
  <c r="D165" s="1"/>
  <c r="E165"/>
  <c r="F165"/>
  <c r="G165"/>
  <c r="L214"/>
  <c r="K214"/>
  <c r="J214"/>
  <c r="I200"/>
  <c r="J200"/>
  <c r="G213"/>
  <c r="F213"/>
  <c r="F198" s="1"/>
  <c r="E213"/>
  <c r="E198" s="1"/>
  <c r="D213"/>
  <c r="D198" s="1"/>
  <c r="C213"/>
  <c r="F117" l="1"/>
  <c r="I213"/>
  <c r="G198"/>
  <c r="K213"/>
  <c r="J213"/>
  <c r="L213"/>
  <c r="C93"/>
  <c r="C91" s="1"/>
  <c r="I49" l="1"/>
  <c r="D44"/>
  <c r="E44"/>
  <c r="F44"/>
  <c r="G44"/>
  <c r="C44"/>
  <c r="K56"/>
  <c r="I56"/>
  <c r="K44" l="1"/>
  <c r="J44"/>
  <c r="L56"/>
  <c r="J56"/>
  <c r="L226"/>
  <c r="L225"/>
  <c r="L218"/>
  <c r="L216"/>
  <c r="L211"/>
  <c r="L204"/>
  <c r="L205"/>
  <c r="L206"/>
  <c r="L207"/>
  <c r="L203"/>
  <c r="L201"/>
  <c r="L196"/>
  <c r="L193"/>
  <c r="L186"/>
  <c r="L187"/>
  <c r="L188"/>
  <c r="L189"/>
  <c r="L185"/>
  <c r="L183"/>
  <c r="L181"/>
  <c r="L178"/>
  <c r="L171"/>
  <c r="L172"/>
  <c r="L173"/>
  <c r="L174"/>
  <c r="L170"/>
  <c r="L168"/>
  <c r="L167"/>
  <c r="L163"/>
  <c r="L164"/>
  <c r="L162"/>
  <c r="L159"/>
  <c r="L158"/>
  <c r="L153"/>
  <c r="L154"/>
  <c r="L155"/>
  <c r="L152"/>
  <c r="L119"/>
  <c r="L120"/>
  <c r="L121"/>
  <c r="L122"/>
  <c r="L123"/>
  <c r="L124"/>
  <c r="L125"/>
  <c r="L126"/>
  <c r="L127"/>
  <c r="L128"/>
  <c r="L129"/>
  <c r="L130"/>
  <c r="L132"/>
  <c r="L133"/>
  <c r="L134"/>
  <c r="L141"/>
  <c r="L135"/>
  <c r="L136"/>
  <c r="L137"/>
  <c r="L138"/>
  <c r="L139"/>
  <c r="L140"/>
  <c r="L142"/>
  <c r="L143"/>
  <c r="L144"/>
  <c r="L145"/>
  <c r="L148"/>
  <c r="L149"/>
  <c r="L150"/>
  <c r="L118"/>
  <c r="L116"/>
  <c r="L90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89"/>
  <c r="L83"/>
  <c r="L66"/>
  <c r="L67"/>
  <c r="L69"/>
  <c r="L70"/>
  <c r="L71"/>
  <c r="L72"/>
  <c r="L73"/>
  <c r="L74"/>
  <c r="L75"/>
  <c r="L76"/>
  <c r="L77"/>
  <c r="L78"/>
  <c r="L65"/>
  <c r="L43"/>
  <c r="L33"/>
  <c r="L35"/>
  <c r="L36"/>
  <c r="L37"/>
  <c r="L39"/>
  <c r="L40"/>
  <c r="L29"/>
  <c r="L31"/>
  <c r="L24"/>
  <c r="L26"/>
  <c r="L27"/>
  <c r="L15"/>
  <c r="L18"/>
  <c r="L20"/>
  <c r="L21"/>
  <c r="L10"/>
  <c r="L12"/>
  <c r="G9"/>
  <c r="G11"/>
  <c r="G14"/>
  <c r="G13" s="1"/>
  <c r="G17"/>
  <c r="G19"/>
  <c r="G23"/>
  <c r="G30"/>
  <c r="G34"/>
  <c r="G38"/>
  <c r="G42"/>
  <c r="L44"/>
  <c r="G54"/>
  <c r="G64"/>
  <c r="G79"/>
  <c r="G180"/>
  <c r="G179" s="1"/>
  <c r="G215"/>
  <c r="G217"/>
  <c r="G227"/>
  <c r="G231"/>
  <c r="G232"/>
  <c r="G233"/>
  <c r="G234"/>
  <c r="G236"/>
  <c r="F236"/>
  <c r="F234"/>
  <c r="F233"/>
  <c r="F232"/>
  <c r="F231"/>
  <c r="F227"/>
  <c r="F224"/>
  <c r="F217"/>
  <c r="F215"/>
  <c r="F180"/>
  <c r="F179" s="1"/>
  <c r="F91"/>
  <c r="F87"/>
  <c r="F79"/>
  <c r="F54"/>
  <c r="F42"/>
  <c r="F38"/>
  <c r="F34"/>
  <c r="F30"/>
  <c r="F23"/>
  <c r="F19"/>
  <c r="F17"/>
  <c r="F14"/>
  <c r="F13" s="1"/>
  <c r="F11"/>
  <c r="F9"/>
  <c r="F8" s="1"/>
  <c r="G8" l="1"/>
  <c r="L8" s="1"/>
  <c r="L54"/>
  <c r="F41"/>
  <c r="L51"/>
  <c r="G41"/>
  <c r="L19"/>
  <c r="L30"/>
  <c r="L38"/>
  <c r="L11"/>
  <c r="L17"/>
  <c r="L23"/>
  <c r="L34"/>
  <c r="F86"/>
  <c r="G86"/>
  <c r="G223"/>
  <c r="L215"/>
  <c r="L195"/>
  <c r="L179"/>
  <c r="L79"/>
  <c r="L227"/>
  <c r="L217"/>
  <c r="L180"/>
  <c r="L166"/>
  <c r="L117"/>
  <c r="L87"/>
  <c r="L64"/>
  <c r="L42"/>
  <c r="L165"/>
  <c r="L13"/>
  <c r="L91"/>
  <c r="L224"/>
  <c r="L28"/>
  <c r="L32"/>
  <c r="L14"/>
  <c r="L9"/>
  <c r="G22"/>
  <c r="G16"/>
  <c r="F16"/>
  <c r="F223"/>
  <c r="F22"/>
  <c r="L22" s="1"/>
  <c r="E180"/>
  <c r="E179" s="1"/>
  <c r="I65"/>
  <c r="I66"/>
  <c r="I67"/>
  <c r="I69"/>
  <c r="I71"/>
  <c r="I72"/>
  <c r="I74"/>
  <c r="I76"/>
  <c r="I77"/>
  <c r="I78"/>
  <c r="I81"/>
  <c r="I82"/>
  <c r="I83"/>
  <c r="I84"/>
  <c r="I85"/>
  <c r="I89"/>
  <c r="I90"/>
  <c r="I93"/>
  <c r="I94"/>
  <c r="I95"/>
  <c r="I96"/>
  <c r="I97"/>
  <c r="I101"/>
  <c r="I103"/>
  <c r="I104"/>
  <c r="I106"/>
  <c r="I122"/>
  <c r="I152"/>
  <c r="I159"/>
  <c r="I160"/>
  <c r="I162"/>
  <c r="I163"/>
  <c r="I164"/>
  <c r="I167"/>
  <c r="I168"/>
  <c r="I170"/>
  <c r="I171"/>
  <c r="I172"/>
  <c r="I174"/>
  <c r="I175"/>
  <c r="I176"/>
  <c r="I177"/>
  <c r="I181"/>
  <c r="I182"/>
  <c r="I183"/>
  <c r="I185"/>
  <c r="I186"/>
  <c r="I187"/>
  <c r="I189"/>
  <c r="I190"/>
  <c r="I191"/>
  <c r="I192"/>
  <c r="I194"/>
  <c r="I196"/>
  <c r="I197"/>
  <c r="I201"/>
  <c r="I203"/>
  <c r="I204"/>
  <c r="I205"/>
  <c r="I207"/>
  <c r="I208"/>
  <c r="I209"/>
  <c r="I210"/>
  <c r="I211"/>
  <c r="I216"/>
  <c r="I218"/>
  <c r="E217"/>
  <c r="E215"/>
  <c r="I158"/>
  <c r="D158"/>
  <c r="D117" s="1"/>
  <c r="I118"/>
  <c r="D110"/>
  <c r="I99"/>
  <c r="I87"/>
  <c r="E79"/>
  <c r="D91"/>
  <c r="C110"/>
  <c r="H226" l="1"/>
  <c r="H229"/>
  <c r="H225"/>
  <c r="H228"/>
  <c r="G7"/>
  <c r="G6" s="1"/>
  <c r="G61" s="1"/>
  <c r="L41"/>
  <c r="L223"/>
  <c r="L86"/>
  <c r="G219"/>
  <c r="H131" s="1"/>
  <c r="F7"/>
  <c r="L16"/>
  <c r="I195"/>
  <c r="E86"/>
  <c r="D86"/>
  <c r="C198"/>
  <c r="C99"/>
  <c r="K64"/>
  <c r="C64"/>
  <c r="H156" l="1"/>
  <c r="H57"/>
  <c r="H56"/>
  <c r="H127"/>
  <c r="H157"/>
  <c r="L7"/>
  <c r="H25"/>
  <c r="H52"/>
  <c r="H51"/>
  <c r="H39"/>
  <c r="H38"/>
  <c r="H44"/>
  <c r="H37"/>
  <c r="H60"/>
  <c r="H47"/>
  <c r="H59"/>
  <c r="H46"/>
  <c r="H48"/>
  <c r="H200"/>
  <c r="H212"/>
  <c r="H214"/>
  <c r="H213"/>
  <c r="L200"/>
  <c r="H49"/>
  <c r="G221"/>
  <c r="H221" s="1"/>
  <c r="H58"/>
  <c r="F6"/>
  <c r="F61" s="1"/>
  <c r="E219"/>
  <c r="E227"/>
  <c r="I227" s="1"/>
  <c r="E224"/>
  <c r="I10"/>
  <c r="I12"/>
  <c r="I15"/>
  <c r="I18"/>
  <c r="I20"/>
  <c r="I21"/>
  <c r="I24"/>
  <c r="I26"/>
  <c r="I27"/>
  <c r="I29"/>
  <c r="I31"/>
  <c r="I40"/>
  <c r="I43"/>
  <c r="I53"/>
  <c r="E54"/>
  <c r="I54" s="1"/>
  <c r="E42"/>
  <c r="E34"/>
  <c r="E30"/>
  <c r="E23"/>
  <c r="E19"/>
  <c r="E17"/>
  <c r="E14"/>
  <c r="E13" s="1"/>
  <c r="E11"/>
  <c r="E9"/>
  <c r="E8" s="1"/>
  <c r="E41" l="1"/>
  <c r="L199"/>
  <c r="L6"/>
  <c r="L61"/>
  <c r="L228" s="1"/>
  <c r="E223"/>
  <c r="E22"/>
  <c r="E16"/>
  <c r="L198" l="1"/>
  <c r="F219"/>
  <c r="E7"/>
  <c r="E6" s="1"/>
  <c r="I28"/>
  <c r="L219" l="1"/>
  <c r="F221"/>
  <c r="L221" s="1"/>
  <c r="E61"/>
  <c r="E221" l="1"/>
  <c r="D148"/>
  <c r="K148" s="1"/>
  <c r="C87"/>
  <c r="C86" s="1"/>
  <c r="I166" l="1"/>
  <c r="I165"/>
  <c r="J37"/>
  <c r="D34"/>
  <c r="C34"/>
  <c r="J133" l="1"/>
  <c r="J109"/>
  <c r="C54" l="1"/>
  <c r="D54"/>
  <c r="K54" s="1"/>
  <c r="J51" l="1"/>
  <c r="K51"/>
  <c r="J54"/>
  <c r="I51"/>
  <c r="J136"/>
  <c r="J137"/>
  <c r="J138"/>
  <c r="J142"/>
  <c r="J122"/>
  <c r="I44" l="1"/>
  <c r="J45"/>
  <c r="I64" l="1"/>
  <c r="D17"/>
  <c r="K17" s="1"/>
  <c r="C158" l="1"/>
  <c r="J129"/>
  <c r="J127"/>
  <c r="I91" l="1"/>
  <c r="K168" l="1"/>
  <c r="J168"/>
  <c r="K71"/>
  <c r="K72"/>
  <c r="J70"/>
  <c r="J71"/>
  <c r="J72"/>
  <c r="I117" l="1"/>
  <c r="J36"/>
  <c r="J121" l="1"/>
  <c r="J135" l="1"/>
  <c r="J29" l="1"/>
  <c r="C148" l="1"/>
  <c r="K201" l="1"/>
  <c r="J201"/>
  <c r="I180" l="1"/>
  <c r="I179"/>
  <c r="I199"/>
  <c r="I198"/>
  <c r="K183"/>
  <c r="J183"/>
  <c r="J114" l="1"/>
  <c r="K114"/>
  <c r="J66" l="1"/>
  <c r="K77" l="1"/>
  <c r="J132"/>
  <c r="C180" l="1"/>
  <c r="C179" s="1"/>
  <c r="K152"/>
  <c r="J152"/>
  <c r="J153"/>
  <c r="J154"/>
  <c r="J155"/>
  <c r="J150"/>
  <c r="K94" l="1"/>
  <c r="K95"/>
  <c r="K96"/>
  <c r="K97"/>
  <c r="K103"/>
  <c r="K104"/>
  <c r="K106"/>
  <c r="J94"/>
  <c r="J95"/>
  <c r="J96"/>
  <c r="J97"/>
  <c r="J103"/>
  <c r="J104"/>
  <c r="J105"/>
  <c r="J106"/>
  <c r="J101"/>
  <c r="J100" l="1"/>
  <c r="J148"/>
  <c r="J128"/>
  <c r="J149"/>
  <c r="K99" l="1"/>
  <c r="J99"/>
  <c r="L160"/>
  <c r="J160"/>
  <c r="J194"/>
  <c r="K194"/>
  <c r="L194"/>
  <c r="J134" l="1"/>
  <c r="J125"/>
  <c r="K188"/>
  <c r="K189"/>
  <c r="K186"/>
  <c r="J188"/>
  <c r="J189"/>
  <c r="J186"/>
  <c r="L192"/>
  <c r="K192"/>
  <c r="J192"/>
  <c r="L210" l="1"/>
  <c r="K210"/>
  <c r="J210"/>
  <c r="J206"/>
  <c r="J207"/>
  <c r="J204"/>
  <c r="J173"/>
  <c r="J171"/>
  <c r="J170"/>
  <c r="L177"/>
  <c r="K177"/>
  <c r="J177"/>
  <c r="J174"/>
  <c r="K171"/>
  <c r="J167"/>
  <c r="C38"/>
  <c r="J40"/>
  <c r="C14"/>
  <c r="D232"/>
  <c r="C232"/>
  <c r="C224"/>
  <c r="C233"/>
  <c r="D233"/>
  <c r="J12"/>
  <c r="D42"/>
  <c r="I42"/>
  <c r="D30"/>
  <c r="K30" s="1"/>
  <c r="I30"/>
  <c r="D23"/>
  <c r="K23" s="1"/>
  <c r="I23"/>
  <c r="D19"/>
  <c r="K19" s="1"/>
  <c r="I19"/>
  <c r="I17"/>
  <c r="D14"/>
  <c r="I14"/>
  <c r="D11"/>
  <c r="K11" s="1"/>
  <c r="I11"/>
  <c r="D9"/>
  <c r="I9"/>
  <c r="D41" l="1"/>
  <c r="K41" s="1"/>
  <c r="K42"/>
  <c r="D8"/>
  <c r="K8" s="1"/>
  <c r="K9"/>
  <c r="D13"/>
  <c r="K13" s="1"/>
  <c r="K14"/>
  <c r="I8"/>
  <c r="I13"/>
  <c r="I16"/>
  <c r="I22"/>
  <c r="D22"/>
  <c r="K22" s="1"/>
  <c r="D16"/>
  <c r="K16" s="1"/>
  <c r="J11"/>
  <c r="C9"/>
  <c r="C30"/>
  <c r="C23"/>
  <c r="C11"/>
  <c r="D79"/>
  <c r="I79"/>
  <c r="C79"/>
  <c r="K218"/>
  <c r="J218"/>
  <c r="I217"/>
  <c r="D217"/>
  <c r="C217"/>
  <c r="D7" l="1"/>
  <c r="K7" s="1"/>
  <c r="I7"/>
  <c r="K217"/>
  <c r="J217"/>
  <c r="J159"/>
  <c r="C117"/>
  <c r="J141"/>
  <c r="J124"/>
  <c r="J123"/>
  <c r="K113"/>
  <c r="J113"/>
  <c r="J26"/>
  <c r="D6" l="1"/>
  <c r="I6"/>
  <c r="K117"/>
  <c r="J163" l="1"/>
  <c r="K90"/>
  <c r="J90"/>
  <c r="J33"/>
  <c r="J35" l="1"/>
  <c r="J39"/>
  <c r="J9"/>
  <c r="J10"/>
  <c r="J15"/>
  <c r="J18"/>
  <c r="J20"/>
  <c r="J21"/>
  <c r="J24"/>
  <c r="J27"/>
  <c r="J28"/>
  <c r="J31"/>
  <c r="J32"/>
  <c r="J43"/>
  <c r="C42"/>
  <c r="C41" s="1"/>
  <c r="C19"/>
  <c r="C17"/>
  <c r="C13"/>
  <c r="C8"/>
  <c r="D61" l="1"/>
  <c r="I41"/>
  <c r="C22"/>
  <c r="J34"/>
  <c r="J38"/>
  <c r="J42"/>
  <c r="J30"/>
  <c r="J13"/>
  <c r="J23"/>
  <c r="J19"/>
  <c r="J17"/>
  <c r="J14"/>
  <c r="J8"/>
  <c r="C16"/>
  <c r="C7" s="1"/>
  <c r="J61" l="1"/>
  <c r="K61"/>
  <c r="C6"/>
  <c r="C61" s="1"/>
  <c r="J41"/>
  <c r="J22"/>
  <c r="J16"/>
  <c r="I61" l="1"/>
  <c r="H54"/>
  <c r="H45"/>
  <c r="H40"/>
  <c r="H53"/>
  <c r="H9"/>
  <c r="H61"/>
  <c r="H12"/>
  <c r="H36"/>
  <c r="H11"/>
  <c r="H29"/>
  <c r="K6"/>
  <c r="J7"/>
  <c r="J6"/>
  <c r="H33" l="1"/>
  <c r="H26"/>
  <c r="D231"/>
  <c r="H35" l="1"/>
  <c r="H34"/>
  <c r="H27"/>
  <c r="H50"/>
  <c r="H55"/>
  <c r="H43"/>
  <c r="H31"/>
  <c r="H28"/>
  <c r="H24"/>
  <c r="H20"/>
  <c r="H18"/>
  <c r="H15"/>
  <c r="H32"/>
  <c r="H21"/>
  <c r="H10"/>
  <c r="H8"/>
  <c r="H14"/>
  <c r="H16"/>
  <c r="H23"/>
  <c r="H17"/>
  <c r="H13"/>
  <c r="H7"/>
  <c r="H19"/>
  <c r="H42"/>
  <c r="H30"/>
  <c r="H41"/>
  <c r="H22"/>
  <c r="H6"/>
  <c r="J172" l="1"/>
  <c r="K172"/>
  <c r="D234" l="1"/>
  <c r="D236"/>
  <c r="L235"/>
  <c r="K235"/>
  <c r="J235"/>
  <c r="L232"/>
  <c r="K232"/>
  <c r="J232"/>
  <c r="C231"/>
  <c r="C234"/>
  <c r="C236"/>
  <c r="K211"/>
  <c r="J211"/>
  <c r="J205"/>
  <c r="K203"/>
  <c r="J203"/>
  <c r="K178"/>
  <c r="J178"/>
  <c r="K170"/>
  <c r="K78"/>
  <c r="J78"/>
  <c r="K76"/>
  <c r="J76"/>
  <c r="J64" l="1"/>
  <c r="K233"/>
  <c r="L233"/>
  <c r="J233"/>
  <c r="K236"/>
  <c r="K234"/>
  <c r="L234"/>
  <c r="J234"/>
  <c r="K231"/>
  <c r="L231"/>
  <c r="J231"/>
  <c r="J77"/>
  <c r="J236"/>
  <c r="L236"/>
  <c r="J85" l="1"/>
  <c r="K85"/>
  <c r="L85"/>
  <c r="J91" l="1"/>
  <c r="J65"/>
  <c r="K65"/>
  <c r="K66"/>
  <c r="J67"/>
  <c r="K67"/>
  <c r="J73"/>
  <c r="J74"/>
  <c r="K74"/>
  <c r="J81"/>
  <c r="K81"/>
  <c r="L81"/>
  <c r="J87"/>
  <c r="K87"/>
  <c r="J89"/>
  <c r="K89"/>
  <c r="K91"/>
  <c r="J93"/>
  <c r="K93"/>
  <c r="J107"/>
  <c r="J116"/>
  <c r="K116"/>
  <c r="J162"/>
  <c r="J164"/>
  <c r="J118"/>
  <c r="K118"/>
  <c r="J120"/>
  <c r="J139"/>
  <c r="J143"/>
  <c r="J144"/>
  <c r="J145"/>
  <c r="J158"/>
  <c r="K158"/>
  <c r="K167"/>
  <c r="J175"/>
  <c r="K175"/>
  <c r="L175"/>
  <c r="J185"/>
  <c r="K185"/>
  <c r="J187"/>
  <c r="K187"/>
  <c r="K193"/>
  <c r="J181"/>
  <c r="K181"/>
  <c r="J190"/>
  <c r="K190"/>
  <c r="L190"/>
  <c r="J196"/>
  <c r="K196"/>
  <c r="J197"/>
  <c r="J199"/>
  <c r="K199"/>
  <c r="K200"/>
  <c r="J208"/>
  <c r="K208"/>
  <c r="L208"/>
  <c r="J216"/>
  <c r="K216"/>
  <c r="J83"/>
  <c r="K83"/>
  <c r="J112"/>
  <c r="K112"/>
  <c r="J69"/>
  <c r="K69"/>
  <c r="D215"/>
  <c r="D219" s="1"/>
  <c r="I215"/>
  <c r="C215"/>
  <c r="K179" l="1"/>
  <c r="J180"/>
  <c r="K166"/>
  <c r="J166"/>
  <c r="K180"/>
  <c r="J215"/>
  <c r="J198"/>
  <c r="J195"/>
  <c r="J117"/>
  <c r="J79"/>
  <c r="K215"/>
  <c r="K198"/>
  <c r="K195"/>
  <c r="K165"/>
  <c r="K79"/>
  <c r="J165" l="1"/>
  <c r="J179"/>
  <c r="K225" l="1"/>
  <c r="K226"/>
  <c r="J225"/>
  <c r="J226"/>
  <c r="J229" l="1"/>
  <c r="K229"/>
  <c r="C227"/>
  <c r="C223" s="1"/>
  <c r="D227" l="1"/>
  <c r="D223" s="1"/>
  <c r="D221"/>
  <c r="J228" l="1"/>
  <c r="K227" l="1"/>
  <c r="J227"/>
  <c r="I223"/>
  <c r="J223" l="1"/>
  <c r="H227"/>
  <c r="K223"/>
  <c r="H223"/>
  <c r="J110" l="1"/>
  <c r="K110"/>
  <c r="I219" l="1"/>
  <c r="I86"/>
  <c r="K86"/>
  <c r="J86"/>
  <c r="J219" s="1"/>
  <c r="H109" l="1"/>
  <c r="H142"/>
  <c r="H133"/>
  <c r="H122"/>
  <c r="H163"/>
  <c r="H231"/>
  <c r="H236"/>
  <c r="K219"/>
  <c r="H232"/>
  <c r="H210"/>
  <c r="H208"/>
  <c r="H129"/>
  <c r="L229"/>
  <c r="H112"/>
  <c r="H144"/>
  <c r="H185"/>
  <c r="H181"/>
  <c r="H196"/>
  <c r="H233"/>
  <c r="H192"/>
  <c r="H190"/>
  <c r="H234"/>
  <c r="H160"/>
  <c r="H235"/>
  <c r="H148"/>
  <c r="H132"/>
  <c r="H152"/>
  <c r="H155"/>
  <c r="H154"/>
  <c r="H96"/>
  <c r="H103"/>
  <c r="H106"/>
  <c r="H97"/>
  <c r="H105"/>
  <c r="H194"/>
  <c r="H134"/>
  <c r="H188"/>
  <c r="H189"/>
  <c r="H186"/>
  <c r="H204"/>
  <c r="H207"/>
  <c r="H174"/>
  <c r="H173"/>
  <c r="H217"/>
  <c r="H138"/>
  <c r="H76"/>
  <c r="H203"/>
  <c r="H125"/>
  <c r="H177"/>
  <c r="H171"/>
  <c r="H218"/>
  <c r="H159"/>
  <c r="H136"/>
  <c r="H124"/>
  <c r="H141"/>
  <c r="H90"/>
  <c r="H77"/>
  <c r="H178"/>
  <c r="H85"/>
  <c r="H170"/>
  <c r="H65"/>
  <c r="H67"/>
  <c r="H74"/>
  <c r="H87"/>
  <c r="H91"/>
  <c r="H107"/>
  <c r="H162"/>
  <c r="H118"/>
  <c r="H139"/>
  <c r="H145"/>
  <c r="H166"/>
  <c r="H175"/>
  <c r="H187"/>
  <c r="H180"/>
  <c r="H83"/>
  <c r="H198"/>
  <c r="H117"/>
  <c r="I221"/>
  <c r="H110"/>
  <c r="H71"/>
  <c r="H72"/>
  <c r="H121"/>
  <c r="H114"/>
  <c r="H113"/>
  <c r="H123"/>
  <c r="H78"/>
  <c r="H205"/>
  <c r="H211"/>
  <c r="H168"/>
  <c r="H70"/>
  <c r="H135"/>
  <c r="H201"/>
  <c r="H183"/>
  <c r="H99"/>
  <c r="H219"/>
  <c r="H128"/>
  <c r="H149"/>
  <c r="H153"/>
  <c r="H150"/>
  <c r="H94"/>
  <c r="H100"/>
  <c r="H104"/>
  <c r="H95"/>
  <c r="H101"/>
  <c r="H182"/>
  <c r="H206"/>
  <c r="H172"/>
  <c r="H197"/>
  <c r="H216"/>
  <c r="H215"/>
  <c r="H195"/>
  <c r="H165"/>
  <c r="H69"/>
  <c r="H179"/>
  <c r="H79"/>
  <c r="H64"/>
  <c r="H66"/>
  <c r="H73"/>
  <c r="H81"/>
  <c r="H89"/>
  <c r="H93"/>
  <c r="H116"/>
  <c r="H164"/>
  <c r="H120"/>
  <c r="H143"/>
  <c r="H158"/>
  <c r="H167"/>
  <c r="H193"/>
  <c r="H199"/>
  <c r="H86"/>
  <c r="J221" l="1"/>
  <c r="K221"/>
  <c r="C219"/>
  <c r="C221" s="1"/>
</calcChain>
</file>

<file path=xl/sharedStrings.xml><?xml version="1.0" encoding="utf-8"?>
<sst xmlns="http://schemas.openxmlformats.org/spreadsheetml/2006/main" count="370" uniqueCount="295">
  <si>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</si>
  <si>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</si>
  <si>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</si>
  <si>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000 1 17 00000 00 0000 000</t>
  </si>
  <si>
    <t xml:space="preserve">БЕЗВОЗМЕЗДНЫЕ ПОСТУПЛЕНИЯ </t>
  </si>
  <si>
    <t>ПРОЧИЕ НЕНАЛОГОВЫЕ ДОХОДЫ</t>
  </si>
  <si>
    <t>ВСЕГО ДОХОДОВ</t>
  </si>
  <si>
    <t>РАСХОДЫ</t>
  </si>
  <si>
    <t xml:space="preserve">ЖИЛИЩНО-КОММУНАЛЬНОЕ ХОЗЯЙСТВО </t>
  </si>
  <si>
    <t>СПРАВОЧНО:</t>
  </si>
  <si>
    <t xml:space="preserve"> </t>
  </si>
  <si>
    <t>Процент исполнения годового плана</t>
  </si>
  <si>
    <t>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</si>
  <si>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</si>
  <si>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</si>
  <si>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</si>
  <si>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Земельный налог</t>
  </si>
  <si>
    <t>НЕНАЛОГОВЫЕ ДОХОДЫ</t>
  </si>
  <si>
    <t>Код</t>
  </si>
  <si>
    <t>Отклонение от годового плана</t>
  </si>
  <si>
    <t>Наименование</t>
  </si>
  <si>
    <t>0100</t>
  </si>
  <si>
    <t>0500</t>
  </si>
  <si>
    <t>Резервные фонды</t>
  </si>
  <si>
    <t>0400</t>
  </si>
  <si>
    <t>ОБЩЕГОСУДАРСТВЕННЫЕ ВОПРОСЫ</t>
  </si>
  <si>
    <t>НАЦИОНАЛЬНАЯ ЭКОНОМИКА</t>
  </si>
  <si>
    <t>в том числе:</t>
  </si>
  <si>
    <t>000 1 00 00000 00 0000 000</t>
  </si>
  <si>
    <t>000 1 01 00000 00 0000 000</t>
  </si>
  <si>
    <t>НАЛОГИ НА ПРИБЫЛЬ, ДОХОДЫ</t>
  </si>
  <si>
    <t>182 1 01 02000 01 0000 110</t>
  </si>
  <si>
    <t>182 1 05 03000 01 0000 110</t>
  </si>
  <si>
    <t>182 1 06 06000 00 0000 110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</si>
  <si>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</si>
  <si>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</si>
  <si>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</si>
  <si>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000 1 14 00000 00 0000 000</t>
  </si>
  <si>
    <t>000 1 11 00000 00 0000 000</t>
  </si>
  <si>
    <t>000 2 00 00000 00 0000 000</t>
  </si>
  <si>
    <t>Доходы,  получаемые  в  виде  арендной  платы  за земельные участки, государственная  собственность на которые не разграничена и которые  расположены в границах поселений, а также средства от продажи права на заключение  договоров  аренды  указанных земельных участков</t>
  </si>
  <si>
    <t>Доходы    от    продажи    земельных    участков, государственная  собственность  на   которые   не разграничена и  которые  расположены  в  границах поселений</t>
  </si>
  <si>
    <t>0503</t>
  </si>
  <si>
    <t>Благоустройство</t>
  </si>
  <si>
    <t>0707</t>
  </si>
  <si>
    <t>0102</t>
  </si>
  <si>
    <t>0103</t>
  </si>
  <si>
    <t>0408</t>
  </si>
  <si>
    <t>Невыясненные поступления, зачисляемые в бюджеты поселений</t>
  </si>
  <si>
    <t>Физическая культура и спорт</t>
  </si>
  <si>
    <t>Увеличение прочих остатков денежных средств бюджета поселения</t>
  </si>
  <si>
    <t>Уменьшение прочих остатков денежных средств бюджета поселения</t>
  </si>
  <si>
    <t>Молодежная политика и оздоровление детей</t>
  </si>
  <si>
    <t>Функционирование высшего должностного лица субъекта Российской Федерации и муниципального образования</t>
  </si>
  <si>
    <t>Всего расходов</t>
  </si>
  <si>
    <t>0501</t>
  </si>
  <si>
    <t>0505</t>
  </si>
  <si>
    <t>Другие вопросы в области жилищно-коммунального хозяйства</t>
  </si>
  <si>
    <t>0800</t>
  </si>
  <si>
    <t>Культура</t>
  </si>
  <si>
    <t>0801</t>
  </si>
  <si>
    <t>1001</t>
  </si>
  <si>
    <t>Пенсионное обеспечение</t>
  </si>
  <si>
    <t>ПРОФИЦИТ БЮДЖЕТА (со знаком плюс)</t>
  </si>
  <si>
    <t>ДЕФИЦИТ БЮДЖЕТА (со знаком минус)</t>
  </si>
  <si>
    <t>ИСТОЧНИКИ ВНУТРЕННЕГО ФИНАНСИРОВАНИЯ ДЕФИЦИТА БЮДЖЕТА</t>
  </si>
  <si>
    <t xml:space="preserve">Первоначальный  годовой план 
</t>
  </si>
  <si>
    <t>2</t>
  </si>
  <si>
    <t>Жилищное хозяйство</t>
  </si>
  <si>
    <t>0111</t>
  </si>
  <si>
    <t xml:space="preserve">- капитальный ремонт жилого фонда за счет средств поступающих за наем муниципальных жилых помещений     </t>
  </si>
  <si>
    <t xml:space="preserve">- увеличение стоимости основных средств </t>
  </si>
  <si>
    <t>1301</t>
  </si>
  <si>
    <t>0113</t>
  </si>
  <si>
    <t>1101</t>
  </si>
  <si>
    <t>182 1 05 03010 01 0000 110</t>
  </si>
  <si>
    <t>Прочие поступления  от  использования  имущества, находящегося  в   собственности  поселений  (за исключением  имущества  муниципальных  бюджетных и автономных учреждений,  а  также   имущества   муниципальных унитарных предприятий, в том числе казенных)</t>
  </si>
  <si>
    <t>01 02 00 00 10 0000 710</t>
  </si>
  <si>
    <t>Получение кредитов от кредитных организаций бюджетом поселения в валюте Российской Федерации</t>
  </si>
  <si>
    <t>01 02 00 00 10 0000 810</t>
  </si>
  <si>
    <t>Погашение бюджетом поселения кредитов от кредитных организаций в валюте Российской Федерации</t>
  </si>
  <si>
    <t>01 02 00 00 00 0000 000</t>
  </si>
  <si>
    <t>Кредиты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</si>
  <si>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</si>
  <si>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бюджета</t>
  </si>
  <si>
    <t xml:space="preserve"> 01 05 02 01 10 0000 510</t>
  </si>
  <si>
    <t xml:space="preserve"> 01 05 02 01 10 0000 610</t>
  </si>
  <si>
    <t>000 1 05 00000 00 0000 000</t>
  </si>
  <si>
    <t>000 1 06 00000 00 0000 000</t>
  </si>
  <si>
    <t>0300</t>
  </si>
  <si>
    <t>НАЦИОНАЛЬНАЯ БЕЗОПАСНОСТЬ И ПРАВООХРАНИТЕЛЬНАЯ ДЕЯТЕЛЬНОСТЬ</t>
  </si>
  <si>
    <t>Транспорт</t>
  </si>
  <si>
    <t>0409</t>
  </si>
  <si>
    <t>Дорожное хозяйство (дорожные фонды)</t>
  </si>
  <si>
    <t>- бюджетные инвестиции в объекты капитального строительства собственности муниципальных образований</t>
  </si>
  <si>
    <t>- уличное освещение</t>
  </si>
  <si>
    <t>- организация и содержание мест захоронения</t>
  </si>
  <si>
    <t>- субсидии бюджетным учреждениям на финансовое обеспечение муниципального задания на оказание муниципальных услуг (выполнение работ)</t>
  </si>
  <si>
    <t>- субсидии бюджетным учреждениям на иные цели</t>
  </si>
  <si>
    <t>- заработная плата с начислениями на оплату труда</t>
  </si>
  <si>
    <t>Культура, кинематография</t>
  </si>
  <si>
    <t>- увеличение стоимости основных средств</t>
  </si>
  <si>
    <t xml:space="preserve">- коммунальные услуги </t>
  </si>
  <si>
    <t>1000</t>
  </si>
  <si>
    <t>Социальная политика</t>
  </si>
  <si>
    <t>1100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</si>
  <si>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</si>
  <si>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</si>
  <si>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- реализация долгосрочных целевых программ</t>
  </si>
  <si>
    <t>Защита населения и территории от чрезвычайных ситуаций природного и техногенного характера, гражданская оборона</t>
  </si>
  <si>
    <t>Образование</t>
  </si>
  <si>
    <t>0700</t>
  </si>
  <si>
    <t>- субсидия на возмещение недополученных доходов в связи с применением регулируемых тарифов на пассажирские перевозки, осуществляемые горэлектротранспортом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</si>
  <si>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 также   имущества   муниципальных унитарных предприятий, в том числе казенных), в части реализации основных средств по указанному имуществу</t>
  </si>
  <si>
    <t>Субсидии бюджетам Российской Федерации и муниципальных образований (межбюджетные субсидии)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</si>
  <si>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</si>
  <si>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</si>
  <si>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</si>
  <si>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тыс.рублей</t>
  </si>
  <si>
    <t>182 1 01 02010 01 0000 110</t>
  </si>
  <si>
    <t>- 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</si>
  <si>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- субсидия на капитальный ремонт и ремонт автомобильных дорог общего пользования населенных пунктов за счет средств областного дорожного фонда</t>
  </si>
  <si>
    <t>Из них по разделу 0100</t>
  </si>
  <si>
    <t>Из них по разделу 0300</t>
  </si>
  <si>
    <t>Из них по разделу 0400</t>
  </si>
  <si>
    <t>Из них по разделу 0500</t>
  </si>
  <si>
    <t>- органов местного самоуправления</t>
  </si>
  <si>
    <t>- заработная плата с начислениями на оплату труда, из них: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</si>
  <si>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</si>
  <si>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Другие вопросы в области национальной экономики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</si>
  <si>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.9"/>
        <color indexed="8"/>
        <rFont val="Arial Narrow"/>
        <family val="2"/>
        <charset val="204"/>
      </rPr>
      <t>1</t>
    </r>
    <r>
      <rPr>
        <sz val="9"/>
        <color indexed="8"/>
        <rFont val="Arial Narrow"/>
        <family val="2"/>
        <charset val="204"/>
      </rPr>
      <t xml:space="preserve"> и 228 Налогового кодекса Российской Федерации</t>
    </r>
  </si>
  <si>
    <t>000 1 16 00000 00 0000 000</t>
  </si>
  <si>
    <t>ШТРАФЫ, САНКЦИИ, ВОЗМЕЩЕНИЕ УЩЕРБА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</si>
  <si>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</si>
  <si>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- межбюджетные трансферты на осуществление переданных полномочий по решению вопросов местного значения поселений в части исполнения бюджета МО г.Энгельс</t>
  </si>
  <si>
    <t>- межбюджетные трансферты ЭМР</t>
  </si>
  <si>
    <t>Доходы от сдачи в аренду имущества, составляющего казну поселений (за исключением земельных участков)</t>
  </si>
  <si>
    <t>0104</t>
  </si>
  <si>
    <t>0309</t>
  </si>
  <si>
    <t>в т.ч.:</t>
  </si>
  <si>
    <t xml:space="preserve">- межбюджетные трансферты на обеспечение деятельности аварийно-спасательного формирования - муниципального учреждения "Энгельс-Спас" </t>
  </si>
  <si>
    <t>0412</t>
  </si>
  <si>
    <t xml:space="preserve">- межбюджетные трансферты на осуществление переданных полномочий по решению вопросов местного значения поселений по земельному контролю </t>
  </si>
  <si>
    <t>- реализация программ</t>
  </si>
  <si>
    <t>- ремонт дворовых территорий многоквартирных домов   (в рамках ВЦП)</t>
  </si>
  <si>
    <t>0502</t>
  </si>
  <si>
    <t>Коммунальное хозяйство</t>
  </si>
  <si>
    <t>1403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</si>
  <si>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</si>
  <si>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</si>
  <si>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000 1 03 00000 00 0000 000</t>
  </si>
  <si>
    <t>Денежные взыскания (штрафы) установленные законами субъектов Российской Федерации за несоблюдение муниципальных правовых актов, зачисляемых в бюджеты поселений</t>
  </si>
  <si>
    <t>119 1 17 01050 10 0000 180</t>
  </si>
  <si>
    <t>НАЛОГОВЫЕ И НЕНАЛОГОВЫЕ ДОХОДЫ</t>
  </si>
  <si>
    <t>- работников муниципальных учреждений соц.сферы</t>
  </si>
  <si>
    <t>Налоги на товары (работы, услуги), реализуемые на территории Российской Федерации</t>
  </si>
  <si>
    <t>Акцизы по подакцизным товарам  (продукции), производимым на территории Российской Федерации</t>
  </si>
  <si>
    <t>134 1 17 05050 13 0000 180</t>
  </si>
  <si>
    <t>134 1 11 05075 13 0000 120</t>
  </si>
  <si>
    <t>119 1 11 07015 13 0000 120</t>
  </si>
  <si>
    <t>134 1 14 02053 13 0000 410</t>
  </si>
  <si>
    <t>прочие неналоговые доходы бюджетов городских поселений (соц.найм МБУ)</t>
  </si>
  <si>
    <t>104 1 14 06025 13 0000 430</t>
  </si>
  <si>
    <t>- оплата налога на имущество и транспортного налога</t>
  </si>
  <si>
    <t xml:space="preserve">- прочие расходы </t>
  </si>
  <si>
    <t xml:space="preserve"> - оплата услуг связи</t>
  </si>
  <si>
    <t>- оплата услуг связи</t>
  </si>
  <si>
    <t xml:space="preserve">- прочие расходы  </t>
  </si>
  <si>
    <t>- проведение мероприятий в области молодежной политики и обеспечение деятельности учреждений</t>
  </si>
  <si>
    <t>- проведение мероприятий в области культуры учреждениями соц. Сферы и обеспечение деятельности учреждений</t>
  </si>
  <si>
    <t>- ежемесячные взносы на кап.ремонт жил.фонда</t>
  </si>
  <si>
    <t>в т.ч. МБТ на организацию похоронного дела</t>
  </si>
  <si>
    <t>0804</t>
  </si>
  <si>
    <t>Другие вопросы в области культуры, кинематографии</t>
  </si>
  <si>
    <t>Содержание МБУ</t>
  </si>
  <si>
    <t>Земельный налог с организаций</t>
  </si>
  <si>
    <t>Земельный налог с физических лиц</t>
  </si>
  <si>
    <t>100 1 03 02000 01 0000 110</t>
  </si>
  <si>
    <t>182 1 06 01030 13 0000 110</t>
  </si>
  <si>
    <t>182 1 06 06033 13 0000 110</t>
  </si>
  <si>
    <t>182 1 06 06043 13 0000 110</t>
  </si>
  <si>
    <t>Дотации бюджетам бюджетной системы Российской Федерации</t>
  </si>
  <si>
    <t xml:space="preserve">Дотации бюджетам городских поселений на выравнивание бюджетной обеспеченности </t>
  </si>
  <si>
    <t>В том числе:</t>
  </si>
  <si>
    <t>611</t>
  </si>
  <si>
    <t>Погашение кредиторской задолженности за 2014 год (ВЦП "Дорожная деятельность...")</t>
  </si>
  <si>
    <t>Муниципальное задание по организации содержания и ремонта муниципального жилищного фонда, субсидии на иные цели (МБУ "Городское хозяйство"):</t>
  </si>
  <si>
    <t>Муниципальное задание по организации благоустройства и озеленения, субсидии на иные цели (МБУ "Городское хозяйство"):</t>
  </si>
  <si>
    <t>Муниципальное задание по организации капитального ремонта, ремонта и содержания закрепленных автомобильных дорог общего пользования и искусственных дорожных сооружений в их составе, субсидии на иные цели (МБУ "Городское хозяйство"):</t>
  </si>
  <si>
    <t>000 1 11 09045 13 0000 120</t>
  </si>
  <si>
    <t>Межбюджетные трансферты</t>
  </si>
  <si>
    <t>в том числе по МБУ "Городское хозяйство":</t>
  </si>
  <si>
    <t>мероприятия по землеустройству и землепользованию</t>
  </si>
  <si>
    <t>Физическая культура</t>
  </si>
  <si>
    <t>000 1 13 02000 00 0000 130</t>
  </si>
  <si>
    <t>- содержание автомобильных дорог общего пользования (в т.ч. ВЦП)</t>
  </si>
  <si>
    <t>Оплата судебных издержек</t>
  </si>
  <si>
    <t>- капитальный ремонт жилого фонда за счет средств  бюджета</t>
  </si>
  <si>
    <t>- межбюджетные трансферты на осуществление переданных полномочий по решению вопросов местного значения поселений (архитектура, ГО и ЧС)</t>
  </si>
  <si>
    <t>В том числе по МБУ "Городское хозяйство":</t>
  </si>
  <si>
    <t>-субсидии бюджетным учреждениям на иные цели.</t>
  </si>
  <si>
    <t>- субсидии бюджетным учреждениям на иные цели.</t>
  </si>
  <si>
    <t>ДОХОДЫ ОТ КОМПЕНСАЦИИ ЗАТРАТ ГОСУДАРСТВА</t>
  </si>
  <si>
    <t>3700000000</t>
  </si>
  <si>
    <t>3600000000</t>
  </si>
  <si>
    <t>3500000000</t>
  </si>
  <si>
    <t>612</t>
  </si>
  <si>
    <t>5200000000</t>
  </si>
  <si>
    <t>Субсидия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 за счет средств областного дорожного фонда</t>
  </si>
  <si>
    <t>134 1 14 06000 13 0000 430</t>
  </si>
  <si>
    <t>Прочие межбюджетные трансферты общего характера, передаваемые бюджетам городских поселений из бюджета Энгельсского муниципального района</t>
  </si>
  <si>
    <t>Субсидия бюджетам городских поселений на поддержку государственных программ субьектов Российской Федерации и муниципальных программ формирования современной городской среды</t>
  </si>
  <si>
    <t>- предотвращения рисков возникновения ЧС  (в рамках ВЦП) в т.ч.оплата кред.задолж.</t>
  </si>
  <si>
    <t>2630006900</t>
  </si>
  <si>
    <t>Расходы на выплату возмещения собственникам жилых помещений, изымаемых в целях сноса аварийного жилого фонда</t>
  </si>
  <si>
    <t>4700000000</t>
  </si>
  <si>
    <t>000 1 16 51040 02 0000 140</t>
  </si>
  <si>
    <t>Иные межбюджетные трансферты</t>
  </si>
  <si>
    <t>Межбюджетные трансферты, на реализацию программ в сфере дорожного хозяйтсва</t>
  </si>
  <si>
    <t>Прочие поступления от денежных взысканий (штрафов) и иных сумм в возмещение ущерба, зачисляемые в бюджеты городских поселенийгородских поселений</t>
  </si>
  <si>
    <t>000 1 16 900050 13 0000 140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</si>
  <si>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</si>
  <si>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000 1 16 33050 13 0000 140</t>
  </si>
  <si>
    <t>6900103500            6900103700</t>
  </si>
  <si>
    <t>611,612</t>
  </si>
  <si>
    <t>6900103400</t>
  </si>
  <si>
    <t>73002Z0000                    100</t>
  </si>
  <si>
    <t xml:space="preserve"> 4700000000</t>
  </si>
  <si>
    <t>730031200</t>
  </si>
  <si>
    <t>7100405400               7100411800</t>
  </si>
  <si>
    <t>- МП "Формирование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на 2018-2022 годы"</t>
  </si>
  <si>
    <t xml:space="preserve">Уточненный  годовой план </t>
  </si>
  <si>
    <t>Уд. вес
в 2019 г.</t>
  </si>
  <si>
    <t>119 2 02 45393 13 0000 150</t>
  </si>
  <si>
    <t>000 2 02 04000 00 0000 150</t>
  </si>
  <si>
    <t>119 2 02 49999 13 0000 150</t>
  </si>
  <si>
    <t>119 2 02 25555 13 0000 150</t>
  </si>
  <si>
    <t>119 2 02 01001 13 0000 150</t>
  </si>
  <si>
    <t>000 2 02 01000 00 0000 150</t>
  </si>
  <si>
    <t>Прочие безвозмездные поступления в бюджеты городских поселений</t>
  </si>
  <si>
    <t xml:space="preserve">Прочие безвозмездные поступления </t>
  </si>
  <si>
    <t>000 2 07 00000 00 0000 000</t>
  </si>
  <si>
    <t>119 2 07 05030 13 0073 150</t>
  </si>
  <si>
    <t>119 2 02 29999 13 0080 150</t>
  </si>
  <si>
    <t>000 2 02 20000 00 0000 150</t>
  </si>
  <si>
    <t>119 2 02 25021 13 0000 150</t>
  </si>
  <si>
    <t>Субсидии бюджетам городских поселений на мероприятия по стимулированию программ развития жилищного строительства субъектов Российской Федерации</t>
  </si>
  <si>
    <t>119 2 02 29999 13 0075 150</t>
  </si>
  <si>
    <t>Субсидии бюджетам городских поселений области на обеспечение повышения оплаты труда некоторых категорий работников мунциипальных учреждений</t>
  </si>
  <si>
    <t>6800000000</t>
  </si>
  <si>
    <t>420000000</t>
  </si>
  <si>
    <t>- обеспечение первичных мер пожарной безопасности в границах населенных пунктов в рамках МП</t>
  </si>
  <si>
    <t>- озеленение и прочие мероприятия по благоустройству  общественных территорий</t>
  </si>
  <si>
    <t>1105</t>
  </si>
  <si>
    <t>Другие вопросы в области физической культуры и спорта</t>
  </si>
  <si>
    <t>612, 414, 244</t>
  </si>
  <si>
    <t>Муниципальная программа «Молодёжь муниципального образования город Энгельс Энгельсского муниципального района Саратовской области» на 2016 - 2021 годы</t>
  </si>
  <si>
    <t>Ведомственная целевая программа "Развитие культуры на территории муниципального образования город Энгельс Энгельсского муниципального района Саратовской области" на 2017-2021 годы</t>
  </si>
  <si>
    <t>Ведомственная целевая программа "Развитие физической культуры и спорта на территории муниципального образования город Энгельс Энгельсского муниципального района Саратовской области" на 2017 - 2021 годы</t>
  </si>
  <si>
    <t>1004</t>
  </si>
  <si>
    <t>Охрана семьи и детства</t>
  </si>
  <si>
    <t>46000000,710F150210</t>
  </si>
  <si>
    <t xml:space="preserve"> - строительство, реконструкция,кап.ремонти ремонт автомобильных дорог общего пользования за счет средств областного дорожного фонда</t>
  </si>
  <si>
    <t>- строительство, реконструкция,кап.ремонт и ремонт автомобильных дорог общего пользования</t>
  </si>
  <si>
    <t>7300201500            7300207700                                5900207700</t>
  </si>
  <si>
    <t>71009Z0000;710F150210,   46000000</t>
  </si>
  <si>
    <t>- содержание, экспертиза и оценка жил.помещений</t>
  </si>
  <si>
    <t>7100300000</t>
  </si>
  <si>
    <t>119 2 02 29999 13 0073 150</t>
  </si>
  <si>
    <t>Субсидии бюджетам городских поселений области на реализацию проектов развития муниципальных образований области, основанных на местных инициативах</t>
  </si>
  <si>
    <t>119 2 02 29999 13 0071 150</t>
  </si>
  <si>
    <t>000 2 18 05000 00 0000 180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</si>
  <si>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</si>
  <si>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119 2 18 05010 13 0000 180</t>
  </si>
  <si>
    <t>Доходы бюджетов городских поселений от возврата бюджетными учреждениями остатков субсидий прошлых лет</t>
  </si>
  <si>
    <t>123 1 11 05013 13 0000 120</t>
  </si>
  <si>
    <t>123 1 11 05025 13 0000 120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</si>
  <si>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автономных учреждений, а также земельных участков муниципальных унитарных предприятий, в том числе казенных)</t>
  </si>
  <si>
    <t>Анализ исполнения  бюджета муниципального образования город Энгельс за  за 9 месяцев 2019 года</t>
  </si>
  <si>
    <t>Фактическое
исполнение
на 01.10.2018 г.</t>
  </si>
  <si>
    <t>Фактическое
исполнение
на 01.10.2019 г.</t>
  </si>
  <si>
    <t>Процент исполнения плана 9 месяцев</t>
  </si>
  <si>
    <t>Сравнение исполнения на 01.10.2018 и 2019 гг.      (гр.7-гр.6)</t>
  </si>
  <si>
    <t>План 9 месяцев на 01.10.2019 г.</t>
  </si>
  <si>
    <t>Иные межбюджетные трансферты бюджетам муниципальных районов, городских округов и поселений области в целях обеспечения надлежащего осуществления полномочий по решению вопросов местного значения</t>
  </si>
  <si>
    <t>119 2 02 49999 13 0013 150</t>
  </si>
  <si>
    <t>119 20 7 05030 13 0000 150</t>
  </si>
  <si>
    <t>2630003300</t>
  </si>
  <si>
    <t>- расходы на подготовку и проведение выборов в органы местного самоуправления</t>
  </si>
  <si>
    <t>73002Z0000                                        104,100</t>
  </si>
  <si>
    <t>73001Z0000            73001Z0000</t>
  </si>
  <si>
    <t>8300000000</t>
  </si>
  <si>
    <t>ВЦП"Устройство детских игровых площадок на территории муниципального образования город Энгельс Энгельсского муниципального района Саратовской области в 2018-2020 годах"</t>
  </si>
  <si>
    <t>Выполнение работ по рекультивации земель городского поселения</t>
  </si>
  <si>
    <t>7100700000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</si>
</sst>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.0"/>
    <numFmt numFmtId="165" formatCode="0.0%"/>
    <numFmt numFmtId="166" formatCode="_-* #,##0.0_р_._-;\-* #,##0.0_р_._-;_-* &quot;-&quot;??_р_._-;_-@_-"/>
    <numFmt numFmtId="167" formatCode="#,##0.0"/>
    <numFmt numFmtId="168" formatCode="\+#,##0.0;\-#,##0.0"/>
    <numFmt numFmtId="169" formatCode="#,##0.00;[Red]\-#,##0.00;0.00"/>
  </numFmts>
  <fonts count="24">
    <font>
      <sz val="10"/>
      <name val="Arial Cyr"/>
      <charset val="204"/>
    </font>
    <font>
      <sz val="10"/>
      <name val="Arial Cyr"/>
      <charset val="204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b/>
      <sz val="11"/>
      <name val="Arial Narrow"/>
      <family val="2"/>
    </font>
    <font>
      <b/>
      <u/>
      <sz val="9"/>
      <name val="Arial Narrow"/>
      <family val="2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04"/>
    </font>
    <font>
      <sz val="7"/>
      <name val="Arial Narrow"/>
      <family val="2"/>
      <charset val="204"/>
    </font>
    <font>
      <b/>
      <sz val="7"/>
      <name val="Arial Narrow"/>
      <family val="2"/>
      <charset val="204"/>
    </font>
    <font>
      <b/>
      <sz val="11"/>
      <name val="Arial Narrow"/>
      <family val="2"/>
      <charset val="204"/>
    </font>
    <font>
      <vertAlign val="superscript"/>
      <sz val="9.9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9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7F9C2"/>
        <bgColor indexed="64"/>
      </patternFill>
    </fill>
    <fill>
      <patternFill patternType="solid">
        <fgColor rgb="FFB7F8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C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167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justify" wrapText="1"/>
    </xf>
    <xf numFmtId="168" fontId="4" fillId="0" borderId="0" xfId="0" applyNumberFormat="1" applyFont="1" applyFill="1" applyBorder="1" applyAlignment="1">
      <alignment horizontal="left" vertical="justify" wrapText="1"/>
    </xf>
    <xf numFmtId="168" fontId="14" fillId="0" borderId="0" xfId="0" applyNumberFormat="1" applyFont="1" applyFill="1" applyBorder="1" applyAlignment="1">
      <alignment horizontal="left" vertical="justify" wrapText="1"/>
    </xf>
    <xf numFmtId="168" fontId="10" fillId="0" borderId="0" xfId="0" applyNumberFormat="1" applyFont="1" applyFill="1" applyBorder="1" applyAlignment="1">
      <alignment horizontal="left" vertical="justify" wrapText="1"/>
    </xf>
    <xf numFmtId="0" fontId="10" fillId="0" borderId="0" xfId="0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vertical="center"/>
    </xf>
    <xf numFmtId="167" fontId="12" fillId="0" borderId="1" xfId="0" applyNumberFormat="1" applyFont="1" applyFill="1" applyBorder="1" applyAlignment="1" applyProtection="1">
      <alignment horizontal="right" vertical="center"/>
      <protection locked="0"/>
    </xf>
    <xf numFmtId="167" fontId="7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horizontal="right" vertical="center"/>
    </xf>
    <xf numFmtId="168" fontId="3" fillId="0" borderId="0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justify" vertical="center"/>
    </xf>
    <xf numFmtId="167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6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16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>
      <alignment horizontal="justify" vertical="center"/>
    </xf>
    <xf numFmtId="167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justify" vertical="center"/>
    </xf>
    <xf numFmtId="167" fontId="5" fillId="0" borderId="0" xfId="0" applyNumberFormat="1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justify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justify" vertical="center"/>
    </xf>
    <xf numFmtId="167" fontId="15" fillId="0" borderId="0" xfId="0" applyNumberFormat="1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right" vertical="center" wrapText="1"/>
    </xf>
    <xf numFmtId="165" fontId="9" fillId="2" borderId="1" xfId="3" applyNumberFormat="1" applyFont="1" applyFill="1" applyBorder="1" applyAlignment="1">
      <alignment horizontal="right" vertical="center"/>
    </xf>
    <xf numFmtId="167" fontId="9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justify" vertical="center" wrapText="1"/>
    </xf>
    <xf numFmtId="0" fontId="9" fillId="2" borderId="1" xfId="0" applyNumberFormat="1" applyFont="1" applyFill="1" applyBorder="1" applyAlignment="1">
      <alignment horizontal="justify"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/>
    </xf>
    <xf numFmtId="167" fontId="3" fillId="2" borderId="1" xfId="0" applyNumberFormat="1" applyFont="1" applyFill="1" applyBorder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165" fontId="8" fillId="2" borderId="1" xfId="3" applyNumberFormat="1" applyFont="1" applyFill="1" applyBorder="1" applyAlignment="1">
      <alignment horizontal="right" vertical="center"/>
    </xf>
    <xf numFmtId="168" fontId="8" fillId="2" borderId="1" xfId="0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49" fontId="8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justify" vertical="center"/>
    </xf>
    <xf numFmtId="167" fontId="3" fillId="4" borderId="1" xfId="0" applyNumberFormat="1" applyFont="1" applyFill="1" applyBorder="1" applyAlignment="1">
      <alignment horizontal="right" vertical="center"/>
    </xf>
    <xf numFmtId="167" fontId="3" fillId="4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justify" vertical="center"/>
    </xf>
    <xf numFmtId="167" fontId="3" fillId="5" borderId="1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right" vertical="center" wrapText="1"/>
    </xf>
    <xf numFmtId="167" fontId="8" fillId="5" borderId="1" xfId="0" applyNumberFormat="1" applyFont="1" applyFill="1" applyBorder="1" applyAlignment="1">
      <alignment horizontal="right" vertical="center" wrapText="1"/>
    </xf>
    <xf numFmtId="167" fontId="8" fillId="5" borderId="1" xfId="0" applyNumberFormat="1" applyFont="1" applyFill="1" applyBorder="1" applyAlignment="1">
      <alignment horizontal="right" vertical="center"/>
    </xf>
    <xf numFmtId="49" fontId="8" fillId="5" borderId="1" xfId="0" applyNumberFormat="1" applyFont="1" applyFill="1" applyBorder="1" applyAlignment="1">
      <alignment horizontal="justify" vertical="center" wrapText="1"/>
    </xf>
    <xf numFmtId="169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6" borderId="1" xfId="0" applyNumberFormat="1" applyFont="1" applyFill="1" applyBorder="1" applyAlignment="1">
      <alignment horizontal="right" vertical="center"/>
    </xf>
    <xf numFmtId="167" fontId="11" fillId="4" borderId="1" xfId="0" applyNumberFormat="1" applyFont="1" applyFill="1" applyBorder="1" applyAlignment="1" applyProtection="1">
      <alignment horizontal="right" vertical="center"/>
    </xf>
    <xf numFmtId="167" fontId="12" fillId="4" borderId="1" xfId="0" applyNumberFormat="1" applyFont="1" applyFill="1" applyBorder="1" applyAlignment="1" applyProtection="1">
      <alignment horizontal="right" vertical="center"/>
    </xf>
    <xf numFmtId="167" fontId="12" fillId="4" borderId="1" xfId="0" applyNumberFormat="1" applyFont="1" applyFill="1" applyBorder="1" applyAlignment="1" applyProtection="1">
      <alignment horizontal="right" vertical="center"/>
      <protection locked="0"/>
    </xf>
    <xf numFmtId="167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4" borderId="2" xfId="0" applyNumberFormat="1" applyFont="1" applyFill="1" applyBorder="1" applyAlignment="1" applyProtection="1">
      <alignment horizontal="right" vertical="center"/>
    </xf>
    <xf numFmtId="167" fontId="9" fillId="4" borderId="1" xfId="0" applyNumberFormat="1" applyFont="1" applyFill="1" applyBorder="1" applyAlignment="1" applyProtection="1">
      <alignment horizontal="right" vertical="center"/>
    </xf>
    <xf numFmtId="167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167" fontId="8" fillId="4" borderId="1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0" fontId="7" fillId="4" borderId="1" xfId="0" applyNumberFormat="1" applyFont="1" applyFill="1" applyBorder="1" applyAlignment="1">
      <alignment horizontal="justify" vertical="center"/>
    </xf>
    <xf numFmtId="0" fontId="9" fillId="5" borderId="1" xfId="0" applyNumberFormat="1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vertical="center"/>
    </xf>
    <xf numFmtId="167" fontId="11" fillId="5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49" fontId="9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167" fontId="12" fillId="6" borderId="1" xfId="0" applyNumberFormat="1" applyFont="1" applyFill="1" applyBorder="1" applyAlignment="1" applyProtection="1">
      <alignment horizontal="right" vertical="center"/>
    </xf>
    <xf numFmtId="167" fontId="12" fillId="6" borderId="1" xfId="0" applyNumberFormat="1" applyFont="1" applyFill="1" applyBorder="1" applyAlignment="1" applyProtection="1">
      <alignment horizontal="right" vertical="center"/>
      <protection locked="0"/>
    </xf>
    <xf numFmtId="167" fontId="8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justify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Fill="1" applyBorder="1" applyAlignment="1">
      <alignment horizontal="left" vertical="center"/>
    </xf>
    <xf numFmtId="49" fontId="8" fillId="6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justify" vertical="center"/>
    </xf>
    <xf numFmtId="0" fontId="8" fillId="6" borderId="1" xfId="0" applyFont="1" applyFill="1" applyBorder="1" applyAlignment="1">
      <alignment horizontal="justify" wrapText="1"/>
    </xf>
    <xf numFmtId="167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167" fontId="12" fillId="0" borderId="2" xfId="0" applyNumberFormat="1" applyFont="1" applyFill="1" applyBorder="1" applyAlignment="1" applyProtection="1">
      <alignment horizontal="right" vertical="center"/>
      <protection locked="0"/>
    </xf>
    <xf numFmtId="167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167" fontId="3" fillId="7" borderId="1" xfId="0" applyNumberFormat="1" applyFont="1" applyFill="1" applyBorder="1" applyAlignment="1">
      <alignment horizontal="right" vertical="center" wrapText="1"/>
    </xf>
    <xf numFmtId="167" fontId="3" fillId="7" borderId="1" xfId="0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/>
    </xf>
    <xf numFmtId="0" fontId="3" fillId="7" borderId="0" xfId="0" applyFont="1" applyFill="1" applyBorder="1" applyAlignment="1">
      <alignment horizontal="center" vertical="center"/>
    </xf>
    <xf numFmtId="165" fontId="8" fillId="7" borderId="1" xfId="3" applyNumberFormat="1" applyFont="1" applyFill="1" applyBorder="1" applyAlignment="1">
      <alignment horizontal="right" vertical="center"/>
    </xf>
    <xf numFmtId="165" fontId="3" fillId="7" borderId="1" xfId="3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 wrapText="1"/>
    </xf>
    <xf numFmtId="167" fontId="9" fillId="3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165" fontId="9" fillId="0" borderId="1" xfId="3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5" fontId="2" fillId="0" borderId="1" xfId="3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 wrapText="1"/>
    </xf>
    <xf numFmtId="167" fontId="8" fillId="6" borderId="1" xfId="0" applyNumberFormat="1" applyFont="1" applyFill="1" applyBorder="1" applyAlignment="1">
      <alignment horizontal="right" vertical="center"/>
    </xf>
    <xf numFmtId="167" fontId="3" fillId="6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165" fontId="3" fillId="6" borderId="1" xfId="3" applyNumberFormat="1" applyFont="1" applyFill="1" applyBorder="1" applyAlignment="1">
      <alignment horizontal="right" vertical="center"/>
    </xf>
    <xf numFmtId="165" fontId="3" fillId="5" borderId="1" xfId="3" applyNumberFormat="1" applyFont="1" applyFill="1" applyBorder="1" applyAlignment="1">
      <alignment horizontal="right" vertical="center"/>
    </xf>
    <xf numFmtId="167" fontId="8" fillId="3" borderId="1" xfId="0" applyNumberFormat="1" applyFont="1" applyFill="1" applyBorder="1" applyAlignment="1">
      <alignment horizontal="right" vertical="center" wrapText="1"/>
    </xf>
    <xf numFmtId="167" fontId="8" fillId="3" borderId="1" xfId="0" applyNumberFormat="1" applyFont="1" applyFill="1" applyBorder="1" applyAlignment="1">
      <alignment horizontal="right" vertical="center"/>
    </xf>
    <xf numFmtId="167" fontId="23" fillId="0" borderId="1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6" fontId="3" fillId="0" borderId="1" xfId="4" applyNumberFormat="1" applyFont="1" applyFill="1" applyBorder="1" applyAlignment="1">
      <alignment vertical="center"/>
    </xf>
    <xf numFmtId="165" fontId="3" fillId="0" borderId="1" xfId="3" applyNumberFormat="1" applyFont="1" applyFill="1" applyBorder="1" applyAlignment="1">
      <alignment horizontal="right" vertical="center"/>
    </xf>
    <xf numFmtId="167" fontId="9" fillId="8" borderId="1" xfId="0" applyNumberFormat="1" applyFont="1" applyFill="1" applyBorder="1" applyAlignment="1">
      <alignment horizontal="right" vertical="center" wrapText="1"/>
    </xf>
    <xf numFmtId="165" fontId="9" fillId="8" borderId="1" xfId="3" applyNumberFormat="1" applyFont="1" applyFill="1" applyBorder="1" applyAlignment="1">
      <alignment horizontal="right" vertical="center"/>
    </xf>
    <xf numFmtId="168" fontId="9" fillId="8" borderId="1" xfId="0" applyNumberFormat="1" applyFont="1" applyFill="1" applyBorder="1" applyAlignment="1">
      <alignment horizontal="right" vertical="center"/>
    </xf>
    <xf numFmtId="167" fontId="9" fillId="8" borderId="1" xfId="0" applyNumberFormat="1" applyFont="1" applyFill="1" applyBorder="1" applyAlignment="1">
      <alignment horizontal="right" vertical="center"/>
    </xf>
    <xf numFmtId="165" fontId="2" fillId="6" borderId="2" xfId="3" applyNumberFormat="1" applyFont="1" applyFill="1" applyBorder="1" applyAlignment="1">
      <alignment horizontal="right" vertical="center"/>
    </xf>
    <xf numFmtId="167" fontId="2" fillId="6" borderId="1" xfId="0" applyNumberFormat="1" applyFont="1" applyFill="1" applyBorder="1" applyAlignment="1">
      <alignment horizontal="right" vertical="center"/>
    </xf>
    <xf numFmtId="165" fontId="8" fillId="6" borderId="1" xfId="3" applyNumberFormat="1" applyFont="1" applyFill="1" applyBorder="1" applyAlignment="1">
      <alignment horizontal="right" vertical="center"/>
    </xf>
    <xf numFmtId="0" fontId="9" fillId="9" borderId="1" xfId="0" applyNumberFormat="1" applyFont="1" applyFill="1" applyBorder="1" applyAlignment="1">
      <alignment horizontal="justify" vertical="center" wrapText="1"/>
    </xf>
    <xf numFmtId="167" fontId="9" fillId="9" borderId="1" xfId="0" applyNumberFormat="1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 applyProtection="1">
      <alignment horizontal="left" vertical="top"/>
      <protection locked="0"/>
    </xf>
    <xf numFmtId="167" fontId="9" fillId="2" borderId="1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>
      <alignment horizontal="justify" vertical="center" wrapText="1"/>
    </xf>
    <xf numFmtId="165" fontId="9" fillId="4" borderId="1" xfId="3" applyNumberFormat="1" applyFont="1" applyFill="1" applyBorder="1" applyAlignment="1">
      <alignment horizontal="right" vertical="center"/>
    </xf>
    <xf numFmtId="165" fontId="8" fillId="4" borderId="1" xfId="3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67" fontId="2" fillId="6" borderId="2" xfId="0" applyNumberFormat="1" applyFont="1" applyFill="1" applyBorder="1" applyAlignment="1">
      <alignment horizontal="right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justify" vertical="center"/>
    </xf>
    <xf numFmtId="0" fontId="3" fillId="7" borderId="0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horizontal="justify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readingOrder="1"/>
    </xf>
    <xf numFmtId="165" fontId="8" fillId="6" borderId="3" xfId="3" applyNumberFormat="1" applyFont="1" applyFill="1" applyBorder="1" applyAlignment="1">
      <alignment vertical="center"/>
    </xf>
    <xf numFmtId="167" fontId="2" fillId="6" borderId="1" xfId="0" applyNumberFormat="1" applyFont="1" applyFill="1" applyBorder="1" applyAlignment="1">
      <alignment horizontal="justify" vertical="center"/>
    </xf>
    <xf numFmtId="167" fontId="2" fillId="6" borderId="2" xfId="0" applyNumberFormat="1" applyFont="1" applyFill="1" applyBorder="1" applyAlignment="1">
      <alignment horizontal="right" vertical="center"/>
    </xf>
    <xf numFmtId="165" fontId="3" fillId="0" borderId="4" xfId="3" applyNumberFormat="1" applyFont="1" applyFill="1" applyBorder="1" applyAlignment="1">
      <alignment horizontal="right" vertical="center"/>
    </xf>
    <xf numFmtId="167" fontId="2" fillId="6" borderId="2" xfId="0" applyNumberFormat="1" applyFont="1" applyFill="1" applyBorder="1" applyAlignment="1">
      <alignment horizontal="right" vertical="center"/>
    </xf>
    <xf numFmtId="167" fontId="5" fillId="6" borderId="0" xfId="0" applyNumberFormat="1" applyFont="1" applyFill="1" applyBorder="1" applyAlignment="1">
      <alignment horizontal="justify" vertical="center"/>
    </xf>
    <xf numFmtId="0" fontId="2" fillId="6" borderId="0" xfId="0" applyFont="1" applyFill="1" applyBorder="1" applyAlignment="1">
      <alignment horizontal="center" vertical="center"/>
    </xf>
    <xf numFmtId="167" fontId="8" fillId="8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1" xfId="0" applyNumberFormat="1" applyFont="1" applyFill="1" applyBorder="1" applyAlignment="1">
      <alignment horizontal="justify" vertical="center"/>
    </xf>
    <xf numFmtId="49" fontId="8" fillId="6" borderId="0" xfId="0" applyNumberFormat="1" applyFont="1" applyFill="1" applyBorder="1" applyAlignment="1">
      <alignment horizontal="justify" vertical="center" wrapText="1"/>
    </xf>
    <xf numFmtId="49" fontId="3" fillId="6" borderId="0" xfId="0" applyNumberFormat="1" applyFont="1" applyFill="1" applyBorder="1" applyAlignment="1">
      <alignment horizontal="justify" vertical="center" wrapText="1"/>
    </xf>
    <xf numFmtId="167" fontId="3" fillId="6" borderId="0" xfId="0" applyNumberFormat="1" applyFont="1" applyFill="1" applyBorder="1" applyAlignment="1">
      <alignment horizontal="right" vertical="center"/>
    </xf>
    <xf numFmtId="167" fontId="12" fillId="6" borderId="1" xfId="0" applyNumberFormat="1" applyFont="1" applyFill="1" applyBorder="1" applyAlignment="1" applyProtection="1">
      <alignment horizontal="right" vertical="center" wrapText="1"/>
      <protection locked="0"/>
    </xf>
    <xf numFmtId="169" fontId="8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6" borderId="1" xfId="0" applyNumberFormat="1" applyFont="1" applyFill="1" applyBorder="1" applyAlignment="1" applyProtection="1">
      <alignment horizontal="left" vertical="top" wrapText="1"/>
      <protection locked="0"/>
    </xf>
    <xf numFmtId="167" fontId="9" fillId="0" borderId="0" xfId="0" applyNumberFormat="1" applyFont="1" applyFill="1" applyBorder="1" applyAlignment="1">
      <alignment vertical="center"/>
    </xf>
    <xf numFmtId="3" fontId="18" fillId="8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68" fontId="3" fillId="8" borderId="1" xfId="0" applyNumberFormat="1" applyFont="1" applyFill="1" applyBorder="1" applyAlignment="1">
      <alignment horizontal="right" vertical="center"/>
    </xf>
    <xf numFmtId="165" fontId="3" fillId="8" borderId="1" xfId="3" applyNumberFormat="1" applyFont="1" applyFill="1" applyBorder="1" applyAlignment="1">
      <alignment horizontal="right" vertical="center"/>
    </xf>
    <xf numFmtId="167" fontId="12" fillId="8" borderId="1" xfId="0" applyNumberFormat="1" applyFont="1" applyFill="1" applyBorder="1" applyAlignment="1" applyProtection="1">
      <alignment horizontal="right" vertical="center"/>
    </xf>
    <xf numFmtId="49" fontId="18" fillId="8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Continuous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Continuous" vertical="center" wrapText="1"/>
    </xf>
    <xf numFmtId="0" fontId="14" fillId="8" borderId="1" xfId="0" applyFont="1" applyFill="1" applyBorder="1" applyAlignment="1">
      <alignment horizontal="center" vertical="center" wrapText="1"/>
    </xf>
    <xf numFmtId="167" fontId="11" fillId="8" borderId="1" xfId="0" applyNumberFormat="1" applyFont="1" applyFill="1" applyBorder="1" applyAlignment="1" applyProtection="1">
      <alignment horizontal="right" vertical="center"/>
    </xf>
    <xf numFmtId="168" fontId="8" fillId="8" borderId="1" xfId="0" applyNumberFormat="1" applyFont="1" applyFill="1" applyBorder="1" applyAlignment="1">
      <alignment horizontal="right" vertical="center"/>
    </xf>
    <xf numFmtId="167" fontId="12" fillId="8" borderId="1" xfId="0" applyNumberFormat="1" applyFont="1" applyFill="1" applyBorder="1" applyAlignment="1" applyProtection="1">
      <alignment horizontal="right" vertical="center" wrapText="1"/>
      <protection locked="0"/>
    </xf>
    <xf numFmtId="168" fontId="2" fillId="8" borderId="1" xfId="0" applyNumberFormat="1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right" vertical="center"/>
    </xf>
    <xf numFmtId="167" fontId="3" fillId="8" borderId="1" xfId="0" applyNumberFormat="1" applyFont="1" applyFill="1" applyBorder="1" applyAlignment="1">
      <alignment horizontal="right" vertical="center"/>
    </xf>
    <xf numFmtId="165" fontId="8" fillId="8" borderId="1" xfId="3" applyNumberFormat="1" applyFont="1" applyFill="1" applyBorder="1" applyAlignment="1">
      <alignment horizontal="right" vertical="center"/>
    </xf>
    <xf numFmtId="167" fontId="8" fillId="8" borderId="1" xfId="0" applyNumberFormat="1" applyFont="1" applyFill="1" applyBorder="1" applyAlignment="1">
      <alignment horizontal="right" vertical="center"/>
    </xf>
    <xf numFmtId="168" fontId="23" fillId="8" borderId="1" xfId="0" applyNumberFormat="1" applyFont="1" applyFill="1" applyBorder="1" applyAlignment="1">
      <alignment horizontal="right" vertical="center"/>
    </xf>
    <xf numFmtId="165" fontId="2" fillId="8" borderId="2" xfId="3" applyNumberFormat="1" applyFont="1" applyFill="1" applyBorder="1" applyAlignment="1">
      <alignment horizontal="right" vertical="center"/>
    </xf>
    <xf numFmtId="168" fontId="2" fillId="8" borderId="2" xfId="0" applyNumberFormat="1" applyFont="1" applyFill="1" applyBorder="1" applyAlignment="1">
      <alignment horizontal="right" vertical="center"/>
    </xf>
    <xf numFmtId="167" fontId="2" fillId="8" borderId="2" xfId="0" applyNumberFormat="1" applyFont="1" applyFill="1" applyBorder="1" applyAlignment="1">
      <alignment horizontal="right" vertical="center"/>
    </xf>
    <xf numFmtId="165" fontId="9" fillId="8" borderId="2" xfId="3" applyNumberFormat="1" applyFont="1" applyFill="1" applyBorder="1" applyAlignment="1">
      <alignment vertical="center"/>
    </xf>
    <xf numFmtId="165" fontId="8" fillId="8" borderId="2" xfId="3" applyNumberFormat="1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horizontal="right" vertical="center"/>
    </xf>
    <xf numFmtId="165" fontId="9" fillId="5" borderId="1" xfId="3" applyNumberFormat="1" applyFont="1" applyFill="1" applyBorder="1" applyAlignment="1">
      <alignment horizontal="right" vertical="center"/>
    </xf>
    <xf numFmtId="165" fontId="8" fillId="5" borderId="1" xfId="3" applyNumberFormat="1" applyFont="1" applyFill="1" applyBorder="1" applyAlignment="1">
      <alignment horizontal="right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justify" vertical="center" wrapText="1"/>
    </xf>
    <xf numFmtId="167" fontId="2" fillId="5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justify" vertical="center"/>
    </xf>
    <xf numFmtId="49" fontId="8" fillId="5" borderId="1" xfId="0" applyNumberFormat="1" applyFont="1" applyFill="1" applyBorder="1" applyAlignment="1">
      <alignment horizontal="left" vertical="center" inden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justify" vertical="center"/>
    </xf>
    <xf numFmtId="165" fontId="23" fillId="0" borderId="1" xfId="3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left" vertical="center"/>
    </xf>
    <xf numFmtId="165" fontId="2" fillId="4" borderId="2" xfId="3" applyNumberFormat="1" applyFont="1" applyFill="1" applyBorder="1" applyAlignment="1">
      <alignment horizontal="right" vertical="center"/>
    </xf>
    <xf numFmtId="165" fontId="2" fillId="4" borderId="3" xfId="3" applyNumberFormat="1" applyFont="1" applyFill="1" applyBorder="1" applyAlignment="1">
      <alignment horizontal="right" vertical="center"/>
    </xf>
    <xf numFmtId="168" fontId="2" fillId="8" borderId="2" xfId="0" applyNumberFormat="1" applyFont="1" applyFill="1" applyBorder="1" applyAlignment="1">
      <alignment horizontal="right" vertical="center"/>
    </xf>
    <xf numFmtId="168" fontId="2" fillId="8" borderId="3" xfId="0" applyNumberFormat="1" applyFont="1" applyFill="1" applyBorder="1" applyAlignment="1">
      <alignment horizontal="right" vertical="center"/>
    </xf>
    <xf numFmtId="165" fontId="2" fillId="8" borderId="2" xfId="3" applyNumberFormat="1" applyFont="1" applyFill="1" applyBorder="1" applyAlignment="1">
      <alignment horizontal="right" vertical="center"/>
    </xf>
    <xf numFmtId="165" fontId="2" fillId="8" borderId="3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7" fontId="9" fillId="8" borderId="2" xfId="0" applyNumberFormat="1" applyFont="1" applyFill="1" applyBorder="1" applyAlignment="1">
      <alignment horizontal="right" vertical="center"/>
    </xf>
    <xf numFmtId="167" fontId="9" fillId="8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7" fontId="2" fillId="5" borderId="2" xfId="0" applyNumberFormat="1" applyFont="1" applyFill="1" applyBorder="1" applyAlignment="1">
      <alignment horizontal="right" vertical="center"/>
    </xf>
    <xf numFmtId="167" fontId="2" fillId="5" borderId="3" xfId="0" applyNumberFormat="1" applyFont="1" applyFill="1" applyBorder="1" applyAlignment="1">
      <alignment horizontal="right" vertical="center"/>
    </xf>
    <xf numFmtId="167" fontId="2" fillId="4" borderId="2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</cellXfs>
  <cellStyles count="5">
    <cellStyle name="Обычный" xfId="0" builtinId="0"/>
    <cellStyle name="Обычный 2" xfId="1"/>
    <cellStyle name="Обычный_Tmp43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E9D9"/>
      <color rgb="FFB7FFC2"/>
      <color rgb="FFB7F9C2"/>
      <color rgb="FFB7F8C2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M489"/>
  <sheetViews>
    <sheetView tabSelected="1" showRuler="0" zoomScaleNormal="100" zoomScaleSheetLayoutView="160" workbookViewId="0">
      <pane ySplit="5" topLeftCell="A220" activePane="bottomLeft" state="frozenSplit"/>
      <selection pane="bottomLeft" activeCell="E239" sqref="E239"/>
    </sheetView>
  </sheetViews>
  <sheetFormatPr defaultColWidth="9.140625" defaultRowHeight="13.5"/>
  <cols>
    <col min="1" max="1" width="18.7109375" style="26" customWidth="1"/>
    <col min="2" max="2" width="39.7109375" style="55" customWidth="1"/>
    <col min="3" max="3" width="12.140625" style="55" customWidth="1"/>
    <col min="4" max="5" width="11.85546875" style="56" customWidth="1"/>
    <col min="6" max="7" width="12.42578125" style="57" customWidth="1"/>
    <col min="8" max="9" width="9.28515625" style="149" customWidth="1"/>
    <col min="10" max="10" width="9.5703125" style="57" customWidth="1"/>
    <col min="11" max="11" width="9.85546875" style="57" customWidth="1"/>
    <col min="12" max="12" width="10.7109375" style="57" customWidth="1"/>
    <col min="13" max="16384" width="9.140625" style="2"/>
  </cols>
  <sheetData>
    <row r="1" spans="1:13">
      <c r="H1" s="262"/>
      <c r="I1" s="262"/>
      <c r="J1" s="262"/>
      <c r="K1" s="262"/>
      <c r="L1" s="262"/>
    </row>
    <row r="2" spans="1:13" ht="16.5">
      <c r="A2" s="265" t="s">
        <v>278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58"/>
    </row>
    <row r="3" spans="1:13">
      <c r="A3" s="59"/>
      <c r="B3" s="60"/>
      <c r="C3" s="60"/>
      <c r="D3" s="61"/>
      <c r="E3" s="203"/>
      <c r="F3" s="204"/>
      <c r="G3" s="11"/>
      <c r="H3" s="166"/>
      <c r="I3" s="166"/>
      <c r="L3" s="26" t="s">
        <v>118</v>
      </c>
    </row>
    <row r="4" spans="1:13" s="10" customFormat="1" ht="63.75">
      <c r="A4" s="132" t="s">
        <v>18</v>
      </c>
      <c r="B4" s="133" t="s">
        <v>20</v>
      </c>
      <c r="C4" s="196" t="s">
        <v>66</v>
      </c>
      <c r="D4" s="196" t="s">
        <v>231</v>
      </c>
      <c r="E4" s="196" t="s">
        <v>283</v>
      </c>
      <c r="F4" s="196" t="s">
        <v>279</v>
      </c>
      <c r="G4" s="196" t="s">
        <v>280</v>
      </c>
      <c r="H4" s="165" t="s">
        <v>232</v>
      </c>
      <c r="I4" s="223" t="s">
        <v>281</v>
      </c>
      <c r="J4" s="224" t="s">
        <v>19</v>
      </c>
      <c r="K4" s="223" t="s">
        <v>11</v>
      </c>
      <c r="L4" s="225" t="s">
        <v>282</v>
      </c>
    </row>
    <row r="5" spans="1:13" s="35" customFormat="1" ht="11.25">
      <c r="A5" s="216">
        <v>1</v>
      </c>
      <c r="B5" s="220" t="s">
        <v>67</v>
      </c>
      <c r="C5" s="215">
        <v>3</v>
      </c>
      <c r="D5" s="215">
        <v>4</v>
      </c>
      <c r="E5" s="215">
        <v>5</v>
      </c>
      <c r="F5" s="216">
        <v>6</v>
      </c>
      <c r="G5" s="216">
        <v>7</v>
      </c>
      <c r="H5" s="216">
        <v>8</v>
      </c>
      <c r="I5" s="216">
        <v>9</v>
      </c>
      <c r="J5" s="221">
        <v>10</v>
      </c>
      <c r="K5" s="216">
        <v>11</v>
      </c>
      <c r="L5" s="222">
        <v>12</v>
      </c>
    </row>
    <row r="6" spans="1:13" s="12" customFormat="1" ht="16.5">
      <c r="A6" s="38" t="s">
        <v>28</v>
      </c>
      <c r="B6" s="114" t="s">
        <v>153</v>
      </c>
      <c r="C6" s="106">
        <f>C7+C22</f>
        <v>656726.30000000005</v>
      </c>
      <c r="D6" s="106">
        <f t="shared" ref="D6:G6" si="0">D7+D22</f>
        <v>813775.5</v>
      </c>
      <c r="E6" s="106">
        <f t="shared" si="0"/>
        <v>498679.3</v>
      </c>
      <c r="F6" s="106">
        <f t="shared" ref="F6" si="1">F7+F22</f>
        <v>412202.3</v>
      </c>
      <c r="G6" s="106">
        <f t="shared" si="0"/>
        <v>497816.7</v>
      </c>
      <c r="H6" s="188">
        <f t="shared" ref="H6:H39" si="2">G6/Всего_доходов_2003</f>
        <v>0.58599999999999997</v>
      </c>
      <c r="I6" s="177">
        <f t="shared" ref="I6:I31" si="3">G6/E6</f>
        <v>0.998</v>
      </c>
      <c r="J6" s="178">
        <f t="shared" ref="J6:J44" si="4">G6-D6</f>
        <v>-315958.8</v>
      </c>
      <c r="K6" s="177">
        <f t="shared" ref="K6:K64" si="5">G6/D6</f>
        <v>0.61199999999999999</v>
      </c>
      <c r="L6" s="226">
        <f>G6-F6</f>
        <v>85614.399999999994</v>
      </c>
      <c r="M6" s="19"/>
    </row>
    <row r="7" spans="1:13" s="12" customFormat="1">
      <c r="A7" s="38"/>
      <c r="B7" s="39" t="s">
        <v>12</v>
      </c>
      <c r="C7" s="106">
        <f>C9+C11+C13+C16</f>
        <v>574362.69999999995</v>
      </c>
      <c r="D7" s="106">
        <f t="shared" ref="D7:G7" si="6">D9+D11+D13+D16</f>
        <v>574662.69999999995</v>
      </c>
      <c r="E7" s="106">
        <f t="shared" si="6"/>
        <v>343034.4</v>
      </c>
      <c r="F7" s="106">
        <f t="shared" ref="F7" si="7">F9+F11+F13+F16</f>
        <v>356913.2</v>
      </c>
      <c r="G7" s="106">
        <f t="shared" si="6"/>
        <v>342133.3</v>
      </c>
      <c r="H7" s="188">
        <f t="shared" si="2"/>
        <v>0.40300000000000002</v>
      </c>
      <c r="I7" s="177">
        <f t="shared" si="3"/>
        <v>0.997</v>
      </c>
      <c r="J7" s="178">
        <f t="shared" si="4"/>
        <v>-232529.4</v>
      </c>
      <c r="K7" s="177">
        <f t="shared" si="5"/>
        <v>0.59499999999999997</v>
      </c>
      <c r="L7" s="226">
        <f t="shared" ref="L7:L61" si="8">G7-F7</f>
        <v>-14779.9</v>
      </c>
      <c r="M7" s="19"/>
    </row>
    <row r="8" spans="1:13" s="12" customFormat="1">
      <c r="A8" s="38" t="s">
        <v>29</v>
      </c>
      <c r="B8" s="39" t="s">
        <v>30</v>
      </c>
      <c r="C8" s="106">
        <f>SUM(C9)</f>
        <v>297874.90000000002</v>
      </c>
      <c r="D8" s="106">
        <f t="shared" ref="D8:G8" si="9">SUM(D9)</f>
        <v>297874.90000000002</v>
      </c>
      <c r="E8" s="106">
        <f t="shared" si="9"/>
        <v>201497</v>
      </c>
      <c r="F8" s="106">
        <f t="shared" si="9"/>
        <v>200176.6</v>
      </c>
      <c r="G8" s="106">
        <f t="shared" si="9"/>
        <v>199375.7</v>
      </c>
      <c r="H8" s="188">
        <f t="shared" si="2"/>
        <v>0.23499999999999999</v>
      </c>
      <c r="I8" s="177">
        <f t="shared" si="3"/>
        <v>0.98899999999999999</v>
      </c>
      <c r="J8" s="178">
        <f t="shared" si="4"/>
        <v>-98499.199999999997</v>
      </c>
      <c r="K8" s="177">
        <f t="shared" si="5"/>
        <v>0.66900000000000004</v>
      </c>
      <c r="L8" s="226">
        <f t="shared" si="8"/>
        <v>-800.9</v>
      </c>
      <c r="M8" s="19"/>
    </row>
    <row r="9" spans="1:13" s="12" customFormat="1">
      <c r="A9" s="38" t="s">
        <v>31</v>
      </c>
      <c r="B9" s="87" t="s">
        <v>13</v>
      </c>
      <c r="C9" s="106">
        <f>C10</f>
        <v>297874.90000000002</v>
      </c>
      <c r="D9" s="106">
        <f t="shared" ref="D9:G9" si="10">D10</f>
        <v>297874.90000000002</v>
      </c>
      <c r="E9" s="106">
        <f t="shared" si="10"/>
        <v>201497</v>
      </c>
      <c r="F9" s="106">
        <f t="shared" si="10"/>
        <v>200176.6</v>
      </c>
      <c r="G9" s="106">
        <f t="shared" si="10"/>
        <v>199375.7</v>
      </c>
      <c r="H9" s="188">
        <f t="shared" si="2"/>
        <v>0.23499999999999999</v>
      </c>
      <c r="I9" s="177">
        <f t="shared" si="3"/>
        <v>0.98899999999999999</v>
      </c>
      <c r="J9" s="178">
        <f t="shared" si="4"/>
        <v>-98499.199999999997</v>
      </c>
      <c r="K9" s="177">
        <f t="shared" si="5"/>
        <v>0.66900000000000004</v>
      </c>
      <c r="L9" s="226">
        <f t="shared" si="8"/>
        <v>-800.9</v>
      </c>
      <c r="M9" s="19"/>
    </row>
    <row r="10" spans="1:13" s="12" customFormat="1" ht="83.25">
      <c r="A10" s="40" t="s">
        <v>119</v>
      </c>
      <c r="B10" s="42" t="s">
        <v>130</v>
      </c>
      <c r="C10" s="107">
        <v>297874.90000000002</v>
      </c>
      <c r="D10" s="97">
        <v>297874.90000000002</v>
      </c>
      <c r="E10" s="97">
        <v>201497</v>
      </c>
      <c r="F10" s="129">
        <v>200176.6</v>
      </c>
      <c r="G10" s="129">
        <v>199375.7</v>
      </c>
      <c r="H10" s="182">
        <f t="shared" si="2"/>
        <v>0.23499999999999999</v>
      </c>
      <c r="I10" s="177">
        <f t="shared" si="3"/>
        <v>0.98899999999999999</v>
      </c>
      <c r="J10" s="227">
        <f t="shared" si="4"/>
        <v>-98499.199999999997</v>
      </c>
      <c r="K10" s="177">
        <f t="shared" si="5"/>
        <v>0.66900000000000004</v>
      </c>
      <c r="L10" s="226">
        <f t="shared" si="8"/>
        <v>-800.9</v>
      </c>
      <c r="M10" s="19"/>
    </row>
    <row r="11" spans="1:13" s="12" customFormat="1" ht="27">
      <c r="A11" s="38" t="s">
        <v>150</v>
      </c>
      <c r="B11" s="45" t="s">
        <v>155</v>
      </c>
      <c r="C11" s="106">
        <f>C12</f>
        <v>21166.1</v>
      </c>
      <c r="D11" s="106">
        <f t="shared" ref="D11:G11" si="11">D12</f>
        <v>21166.1</v>
      </c>
      <c r="E11" s="106">
        <f t="shared" si="11"/>
        <v>16694.7</v>
      </c>
      <c r="F11" s="106">
        <f t="shared" si="11"/>
        <v>14591.2</v>
      </c>
      <c r="G11" s="106">
        <f t="shared" si="11"/>
        <v>16656.2</v>
      </c>
      <c r="H11" s="189">
        <f t="shared" si="2"/>
        <v>0.02</v>
      </c>
      <c r="I11" s="177">
        <f t="shared" si="3"/>
        <v>0.998</v>
      </c>
      <c r="J11" s="227">
        <f t="shared" si="4"/>
        <v>-4509.8999999999996</v>
      </c>
      <c r="K11" s="177">
        <f t="shared" si="5"/>
        <v>0.78700000000000003</v>
      </c>
      <c r="L11" s="226">
        <f t="shared" si="8"/>
        <v>2065</v>
      </c>
      <c r="M11" s="19"/>
    </row>
    <row r="12" spans="1:13" s="12" customFormat="1" ht="27">
      <c r="A12" s="40" t="s">
        <v>177</v>
      </c>
      <c r="B12" s="126" t="s">
        <v>156</v>
      </c>
      <c r="C12" s="107">
        <v>21166.1</v>
      </c>
      <c r="D12" s="97">
        <v>21166.1</v>
      </c>
      <c r="E12" s="97">
        <v>16694.7</v>
      </c>
      <c r="F12" s="97">
        <v>14591.2</v>
      </c>
      <c r="G12" s="97">
        <v>16656.2</v>
      </c>
      <c r="H12" s="182">
        <f t="shared" si="2"/>
        <v>0.02</v>
      </c>
      <c r="I12" s="177">
        <f t="shared" si="3"/>
        <v>0.998</v>
      </c>
      <c r="J12" s="227">
        <f t="shared" si="4"/>
        <v>-4509.8999999999996</v>
      </c>
      <c r="K12" s="177">
        <f t="shared" si="5"/>
        <v>0.78700000000000003</v>
      </c>
      <c r="L12" s="226">
        <f t="shared" si="8"/>
        <v>2065</v>
      </c>
      <c r="M12" s="19"/>
    </row>
    <row r="13" spans="1:13" s="18" customFormat="1">
      <c r="A13" s="38" t="s">
        <v>87</v>
      </c>
      <c r="B13" s="45" t="s">
        <v>14</v>
      </c>
      <c r="C13" s="106">
        <f>SUM(C14)</f>
        <v>4752</v>
      </c>
      <c r="D13" s="106">
        <f t="shared" ref="D13:G13" si="12">SUM(D14)</f>
        <v>5052</v>
      </c>
      <c r="E13" s="106">
        <f t="shared" si="12"/>
        <v>5052</v>
      </c>
      <c r="F13" s="106">
        <f t="shared" si="12"/>
        <v>3795</v>
      </c>
      <c r="G13" s="106">
        <f t="shared" si="12"/>
        <v>7090</v>
      </c>
      <c r="H13" s="188">
        <f t="shared" si="2"/>
        <v>8.0000000000000002E-3</v>
      </c>
      <c r="I13" s="177">
        <f t="shared" si="3"/>
        <v>1.403</v>
      </c>
      <c r="J13" s="178">
        <f t="shared" si="4"/>
        <v>2038</v>
      </c>
      <c r="K13" s="177">
        <f t="shared" si="5"/>
        <v>1.403</v>
      </c>
      <c r="L13" s="226">
        <f t="shared" si="8"/>
        <v>3295</v>
      </c>
      <c r="M13" s="20"/>
    </row>
    <row r="14" spans="1:13" s="18" customFormat="1">
      <c r="A14" s="38" t="s">
        <v>32</v>
      </c>
      <c r="B14" s="39" t="s">
        <v>0</v>
      </c>
      <c r="C14" s="106">
        <f>C15</f>
        <v>4752</v>
      </c>
      <c r="D14" s="106">
        <f t="shared" ref="D14:G14" si="13">D15</f>
        <v>5052</v>
      </c>
      <c r="E14" s="106">
        <f t="shared" si="13"/>
        <v>5052</v>
      </c>
      <c r="F14" s="106">
        <f t="shared" si="13"/>
        <v>3795</v>
      </c>
      <c r="G14" s="106">
        <f t="shared" si="13"/>
        <v>7090</v>
      </c>
      <c r="H14" s="188">
        <f t="shared" si="2"/>
        <v>8.0000000000000002E-3</v>
      </c>
      <c r="I14" s="177">
        <f t="shared" si="3"/>
        <v>1.403</v>
      </c>
      <c r="J14" s="178">
        <f t="shared" si="4"/>
        <v>2038</v>
      </c>
      <c r="K14" s="177">
        <f t="shared" si="5"/>
        <v>1.403</v>
      </c>
      <c r="L14" s="226">
        <f t="shared" si="8"/>
        <v>3295</v>
      </c>
      <c r="M14" s="20"/>
    </row>
    <row r="15" spans="1:13" s="18" customFormat="1">
      <c r="A15" s="40" t="s">
        <v>75</v>
      </c>
      <c r="B15" s="42" t="s">
        <v>0</v>
      </c>
      <c r="C15" s="108">
        <v>4752</v>
      </c>
      <c r="D15" s="24">
        <v>5052</v>
      </c>
      <c r="E15" s="24">
        <v>5052</v>
      </c>
      <c r="F15" s="24">
        <v>3795</v>
      </c>
      <c r="G15" s="24">
        <v>7090</v>
      </c>
      <c r="H15" s="182">
        <f t="shared" si="2"/>
        <v>8.0000000000000002E-3</v>
      </c>
      <c r="I15" s="177">
        <f t="shared" si="3"/>
        <v>1.403</v>
      </c>
      <c r="J15" s="227">
        <f t="shared" si="4"/>
        <v>2038</v>
      </c>
      <c r="K15" s="177">
        <f t="shared" si="5"/>
        <v>1.403</v>
      </c>
      <c r="L15" s="226">
        <f t="shared" si="8"/>
        <v>3295</v>
      </c>
      <c r="M15" s="20"/>
    </row>
    <row r="16" spans="1:13" s="18" customFormat="1">
      <c r="A16" s="38" t="s">
        <v>88</v>
      </c>
      <c r="B16" s="39" t="s">
        <v>15</v>
      </c>
      <c r="C16" s="106">
        <f>SUM(C17+C19)</f>
        <v>250569.7</v>
      </c>
      <c r="D16" s="106">
        <f t="shared" ref="D16:G16" si="14">SUM(D17+D19)</f>
        <v>250569.7</v>
      </c>
      <c r="E16" s="106">
        <f t="shared" si="14"/>
        <v>119790.7</v>
      </c>
      <c r="F16" s="106">
        <f t="shared" ref="F16" si="15">SUM(F17+F19)</f>
        <v>138350.39999999999</v>
      </c>
      <c r="G16" s="106">
        <f t="shared" si="14"/>
        <v>119011.4</v>
      </c>
      <c r="H16" s="188">
        <f t="shared" si="2"/>
        <v>0.14000000000000001</v>
      </c>
      <c r="I16" s="177">
        <f t="shared" si="3"/>
        <v>0.99299999999999999</v>
      </c>
      <c r="J16" s="178">
        <f t="shared" si="4"/>
        <v>-131558.29999999999</v>
      </c>
      <c r="K16" s="177">
        <f t="shared" si="5"/>
        <v>0.47499999999999998</v>
      </c>
      <c r="L16" s="226">
        <f t="shared" si="8"/>
        <v>-19339</v>
      </c>
      <c r="M16" s="20"/>
    </row>
    <row r="17" spans="1:13" s="22" customFormat="1">
      <c r="A17" s="38" t="s">
        <v>35</v>
      </c>
      <c r="B17" s="39" t="s">
        <v>34</v>
      </c>
      <c r="C17" s="106">
        <f>C18</f>
        <v>104969.7</v>
      </c>
      <c r="D17" s="106">
        <f t="shared" ref="D17:G17" si="16">D18</f>
        <v>104969.7</v>
      </c>
      <c r="E17" s="106">
        <f t="shared" si="16"/>
        <v>43400</v>
      </c>
      <c r="F17" s="106">
        <f t="shared" si="16"/>
        <v>48451.199999999997</v>
      </c>
      <c r="G17" s="106">
        <f t="shared" si="16"/>
        <v>43192.5</v>
      </c>
      <c r="H17" s="188">
        <f t="shared" si="2"/>
        <v>5.0999999999999997E-2</v>
      </c>
      <c r="I17" s="177">
        <f t="shared" si="3"/>
        <v>0.995</v>
      </c>
      <c r="J17" s="178">
        <f t="shared" si="4"/>
        <v>-61777.2</v>
      </c>
      <c r="K17" s="177">
        <f t="shared" si="5"/>
        <v>0.41099999999999998</v>
      </c>
      <c r="L17" s="226">
        <f t="shared" si="8"/>
        <v>-5258.7</v>
      </c>
      <c r="M17" s="21"/>
    </row>
    <row r="18" spans="1:13" s="18" customFormat="1" ht="40.5">
      <c r="A18" s="40" t="s">
        <v>178</v>
      </c>
      <c r="B18" s="42" t="s">
        <v>36</v>
      </c>
      <c r="C18" s="109">
        <v>104969.7</v>
      </c>
      <c r="D18" s="54">
        <v>104969.7</v>
      </c>
      <c r="E18" s="54">
        <v>43400</v>
      </c>
      <c r="F18" s="54">
        <v>48451.199999999997</v>
      </c>
      <c r="G18" s="54">
        <v>43192.5</v>
      </c>
      <c r="H18" s="182">
        <f t="shared" si="2"/>
        <v>5.0999999999999997E-2</v>
      </c>
      <c r="I18" s="177">
        <f t="shared" si="3"/>
        <v>0.995</v>
      </c>
      <c r="J18" s="227">
        <f t="shared" si="4"/>
        <v>-61777.2</v>
      </c>
      <c r="K18" s="177">
        <f t="shared" si="5"/>
        <v>0.41099999999999998</v>
      </c>
      <c r="L18" s="226">
        <f t="shared" si="8"/>
        <v>-5258.7</v>
      </c>
      <c r="M18" s="20"/>
    </row>
    <row r="19" spans="1:13" s="22" customFormat="1">
      <c r="A19" s="38" t="s">
        <v>33</v>
      </c>
      <c r="B19" s="39" t="s">
        <v>16</v>
      </c>
      <c r="C19" s="106">
        <f>SUM(C20:C21)</f>
        <v>145600</v>
      </c>
      <c r="D19" s="106">
        <f t="shared" ref="D19:G19" si="17">SUM(D20:D21)</f>
        <v>145600</v>
      </c>
      <c r="E19" s="106">
        <f t="shared" si="17"/>
        <v>76390.7</v>
      </c>
      <c r="F19" s="106">
        <f t="shared" ref="F19" si="18">SUM(F20:F21)</f>
        <v>89899.199999999997</v>
      </c>
      <c r="G19" s="106">
        <f t="shared" si="17"/>
        <v>75818.899999999994</v>
      </c>
      <c r="H19" s="188">
        <f t="shared" si="2"/>
        <v>8.8999999999999996E-2</v>
      </c>
      <c r="I19" s="177">
        <f t="shared" si="3"/>
        <v>0.99299999999999999</v>
      </c>
      <c r="J19" s="178">
        <f t="shared" si="4"/>
        <v>-69781.100000000006</v>
      </c>
      <c r="K19" s="177">
        <f t="shared" si="5"/>
        <v>0.52100000000000002</v>
      </c>
      <c r="L19" s="226">
        <f t="shared" si="8"/>
        <v>-14080.3</v>
      </c>
      <c r="M19" s="21"/>
    </row>
    <row r="20" spans="1:13" s="22" customFormat="1">
      <c r="A20" s="127" t="s">
        <v>179</v>
      </c>
      <c r="B20" s="42" t="s">
        <v>175</v>
      </c>
      <c r="C20" s="109">
        <v>96000</v>
      </c>
      <c r="D20" s="54">
        <v>96000</v>
      </c>
      <c r="E20" s="211">
        <v>54700</v>
      </c>
      <c r="F20" s="54">
        <v>72624.600000000006</v>
      </c>
      <c r="G20" s="211">
        <v>54296.5</v>
      </c>
      <c r="H20" s="182">
        <f t="shared" si="2"/>
        <v>6.4000000000000001E-2</v>
      </c>
      <c r="I20" s="177">
        <f t="shared" si="3"/>
        <v>0.99299999999999999</v>
      </c>
      <c r="J20" s="227">
        <f t="shared" si="4"/>
        <v>-41703.5</v>
      </c>
      <c r="K20" s="177">
        <f t="shared" si="5"/>
        <v>0.56599999999999995</v>
      </c>
      <c r="L20" s="226">
        <f t="shared" si="8"/>
        <v>-18328.099999999999</v>
      </c>
      <c r="M20" s="21"/>
    </row>
    <row r="21" spans="1:13" s="18" customFormat="1">
      <c r="A21" s="127" t="s">
        <v>180</v>
      </c>
      <c r="B21" s="42" t="s">
        <v>176</v>
      </c>
      <c r="C21" s="109">
        <v>49600</v>
      </c>
      <c r="D21" s="54">
        <v>49600</v>
      </c>
      <c r="E21" s="211">
        <v>21690.7</v>
      </c>
      <c r="F21" s="54">
        <v>17274.599999999999</v>
      </c>
      <c r="G21" s="211">
        <v>21522.400000000001</v>
      </c>
      <c r="H21" s="182">
        <f t="shared" si="2"/>
        <v>2.5000000000000001E-2</v>
      </c>
      <c r="I21" s="177">
        <f t="shared" si="3"/>
        <v>0.99199999999999999</v>
      </c>
      <c r="J21" s="227">
        <f t="shared" si="4"/>
        <v>-28077.599999999999</v>
      </c>
      <c r="K21" s="177">
        <f t="shared" si="5"/>
        <v>0.434</v>
      </c>
      <c r="L21" s="226">
        <f t="shared" si="8"/>
        <v>4247.8</v>
      </c>
      <c r="M21" s="20"/>
    </row>
    <row r="22" spans="1:13" s="22" customFormat="1">
      <c r="A22" s="38"/>
      <c r="B22" s="39" t="s">
        <v>17</v>
      </c>
      <c r="C22" s="106">
        <f>C23+C30+C38+C34</f>
        <v>82363.600000000006</v>
      </c>
      <c r="D22" s="106">
        <f>D23+D30+D38+D34</f>
        <v>239112.8</v>
      </c>
      <c r="E22" s="106">
        <f>E23+E30+E38+E34</f>
        <v>155644.9</v>
      </c>
      <c r="F22" s="106">
        <f>F23+F30+F38+F34</f>
        <v>55289.1</v>
      </c>
      <c r="G22" s="106">
        <f>G23+G30+G38+G34</f>
        <v>155683.4</v>
      </c>
      <c r="H22" s="188">
        <f t="shared" si="2"/>
        <v>0.183</v>
      </c>
      <c r="I22" s="177">
        <f t="shared" si="3"/>
        <v>1</v>
      </c>
      <c r="J22" s="178">
        <f t="shared" si="4"/>
        <v>-83429.399999999994</v>
      </c>
      <c r="K22" s="177">
        <f t="shared" si="5"/>
        <v>0.65100000000000002</v>
      </c>
      <c r="L22" s="226">
        <f t="shared" si="8"/>
        <v>100394.3</v>
      </c>
      <c r="M22" s="21"/>
    </row>
    <row r="23" spans="1:13" s="18" customFormat="1" ht="40.5">
      <c r="A23" s="38" t="s">
        <v>38</v>
      </c>
      <c r="B23" s="39" t="s">
        <v>1</v>
      </c>
      <c r="C23" s="121">
        <f>SUM(C24:C28)</f>
        <v>74672.5</v>
      </c>
      <c r="D23" s="121">
        <f t="shared" ref="D23:G23" si="19">SUM(D24:D28)</f>
        <v>174672.5</v>
      </c>
      <c r="E23" s="121">
        <f t="shared" si="19"/>
        <v>149271</v>
      </c>
      <c r="F23" s="121">
        <f t="shared" ref="F23" si="20">SUM(F24:F28)</f>
        <v>42039.199999999997</v>
      </c>
      <c r="G23" s="121">
        <f t="shared" si="19"/>
        <v>149249.1</v>
      </c>
      <c r="H23" s="188">
        <f t="shared" si="2"/>
        <v>0.17599999999999999</v>
      </c>
      <c r="I23" s="177">
        <f t="shared" si="3"/>
        <v>1</v>
      </c>
      <c r="J23" s="178">
        <f t="shared" si="4"/>
        <v>-25423.4</v>
      </c>
      <c r="K23" s="177">
        <f t="shared" si="5"/>
        <v>0.85399999999999998</v>
      </c>
      <c r="L23" s="226">
        <f t="shared" si="8"/>
        <v>107209.9</v>
      </c>
      <c r="M23" s="20"/>
    </row>
    <row r="24" spans="1:13" s="18" customFormat="1" ht="81">
      <c r="A24" s="40" t="s">
        <v>275</v>
      </c>
      <c r="B24" s="42" t="s">
        <v>40</v>
      </c>
      <c r="C24" s="109">
        <v>65963</v>
      </c>
      <c r="D24" s="24">
        <v>65963</v>
      </c>
      <c r="E24" s="24">
        <v>41822</v>
      </c>
      <c r="F24" s="54">
        <v>34142.6</v>
      </c>
      <c r="G24" s="54">
        <v>41762.6</v>
      </c>
      <c r="H24" s="182">
        <f t="shared" si="2"/>
        <v>4.9000000000000002E-2</v>
      </c>
      <c r="I24" s="177">
        <f t="shared" si="3"/>
        <v>0.999</v>
      </c>
      <c r="J24" s="227">
        <f t="shared" si="4"/>
        <v>-24200.400000000001</v>
      </c>
      <c r="K24" s="177">
        <f t="shared" si="5"/>
        <v>0.63300000000000001</v>
      </c>
      <c r="L24" s="226">
        <f t="shared" si="8"/>
        <v>7620</v>
      </c>
      <c r="M24" s="20"/>
    </row>
    <row r="25" spans="1:13" s="18" customFormat="1" ht="94.5">
      <c r="A25" s="40" t="s">
        <v>276</v>
      </c>
      <c r="B25" s="42" t="s">
        <v>277</v>
      </c>
      <c r="C25" s="109">
        <v>0</v>
      </c>
      <c r="D25" s="24">
        <v>100000</v>
      </c>
      <c r="E25" s="24">
        <v>100000</v>
      </c>
      <c r="F25" s="54">
        <v>0</v>
      </c>
      <c r="G25" s="54">
        <v>100000</v>
      </c>
      <c r="H25" s="182">
        <f t="shared" si="2"/>
        <v>0.11799999999999999</v>
      </c>
      <c r="I25" s="177">
        <f t="shared" si="3"/>
        <v>1</v>
      </c>
      <c r="J25" s="228">
        <v>0</v>
      </c>
      <c r="K25" s="177">
        <f t="shared" si="5"/>
        <v>1</v>
      </c>
      <c r="L25" s="226">
        <f t="shared" si="8"/>
        <v>100000</v>
      </c>
      <c r="M25" s="20"/>
    </row>
    <row r="26" spans="1:13" s="18" customFormat="1" ht="27">
      <c r="A26" s="127" t="s">
        <v>158</v>
      </c>
      <c r="B26" s="42" t="s">
        <v>136</v>
      </c>
      <c r="C26" s="109">
        <v>1832</v>
      </c>
      <c r="D26" s="24">
        <v>1832</v>
      </c>
      <c r="E26" s="24">
        <v>1832</v>
      </c>
      <c r="F26" s="54">
        <v>1682.9</v>
      </c>
      <c r="G26" s="54">
        <v>1875.3</v>
      </c>
      <c r="H26" s="182">
        <f t="shared" si="2"/>
        <v>2E-3</v>
      </c>
      <c r="I26" s="177">
        <f t="shared" si="3"/>
        <v>1.024</v>
      </c>
      <c r="J26" s="227">
        <f t="shared" si="4"/>
        <v>43.3</v>
      </c>
      <c r="K26" s="177">
        <f t="shared" si="5"/>
        <v>1.024</v>
      </c>
      <c r="L26" s="226">
        <f t="shared" si="8"/>
        <v>192.4</v>
      </c>
      <c r="M26" s="20"/>
    </row>
    <row r="27" spans="1:13" s="18" customFormat="1" ht="54" hidden="1" customHeight="1">
      <c r="A27" s="127" t="s">
        <v>159</v>
      </c>
      <c r="B27" s="42" t="s">
        <v>128</v>
      </c>
      <c r="C27" s="109">
        <v>0</v>
      </c>
      <c r="D27" s="24">
        <v>0</v>
      </c>
      <c r="E27" s="24"/>
      <c r="F27" s="54"/>
      <c r="G27" s="54">
        <v>0</v>
      </c>
      <c r="H27" s="150">
        <f t="shared" si="2"/>
        <v>0</v>
      </c>
      <c r="I27" s="177" t="e">
        <f t="shared" si="3"/>
        <v>#DIV/0!</v>
      </c>
      <c r="J27" s="227">
        <f t="shared" si="4"/>
        <v>0</v>
      </c>
      <c r="K27" s="177" t="e">
        <f t="shared" si="5"/>
        <v>#DIV/0!</v>
      </c>
      <c r="L27" s="226">
        <f t="shared" si="8"/>
        <v>0</v>
      </c>
      <c r="M27" s="20"/>
    </row>
    <row r="28" spans="1:13" s="22" customFormat="1" ht="81">
      <c r="A28" s="128" t="s">
        <v>189</v>
      </c>
      <c r="B28" s="41" t="s">
        <v>76</v>
      </c>
      <c r="C28" s="110">
        <v>6877.5</v>
      </c>
      <c r="D28" s="130">
        <v>6877.5</v>
      </c>
      <c r="E28" s="130">
        <v>5617</v>
      </c>
      <c r="F28" s="33">
        <v>6213.7</v>
      </c>
      <c r="G28" s="33">
        <v>5611.2</v>
      </c>
      <c r="H28" s="182">
        <f t="shared" si="2"/>
        <v>7.0000000000000001E-3</v>
      </c>
      <c r="I28" s="177">
        <f t="shared" si="3"/>
        <v>0.999</v>
      </c>
      <c r="J28" s="227">
        <f t="shared" si="4"/>
        <v>-1266.3</v>
      </c>
      <c r="K28" s="177">
        <f t="shared" si="5"/>
        <v>0.81599999999999995</v>
      </c>
      <c r="L28" s="226">
        <f t="shared" si="8"/>
        <v>-602.5</v>
      </c>
      <c r="M28" s="21"/>
    </row>
    <row r="29" spans="1:13" s="22" customFormat="1" ht="18" hidden="1" customHeight="1">
      <c r="A29" s="145" t="s">
        <v>194</v>
      </c>
      <c r="B29" s="47" t="s">
        <v>202</v>
      </c>
      <c r="C29" s="142"/>
      <c r="D29" s="143"/>
      <c r="E29" s="143"/>
      <c r="F29" s="144"/>
      <c r="G29" s="144"/>
      <c r="H29" s="182">
        <f t="shared" si="2"/>
        <v>0</v>
      </c>
      <c r="I29" s="177" t="e">
        <f t="shared" si="3"/>
        <v>#DIV/0!</v>
      </c>
      <c r="J29" s="227">
        <f t="shared" si="4"/>
        <v>0</v>
      </c>
      <c r="K29" s="177" t="e">
        <f t="shared" si="5"/>
        <v>#DIV/0!</v>
      </c>
      <c r="L29" s="226">
        <f t="shared" si="8"/>
        <v>0</v>
      </c>
      <c r="M29" s="21"/>
    </row>
    <row r="30" spans="1:13" s="18" customFormat="1" ht="27">
      <c r="A30" s="46" t="s">
        <v>37</v>
      </c>
      <c r="B30" s="47" t="s">
        <v>2</v>
      </c>
      <c r="C30" s="111">
        <f>SUM(C31:C33)</f>
        <v>7691.1</v>
      </c>
      <c r="D30" s="111">
        <f t="shared" ref="D30:G30" si="21">SUM(D31:D33)</f>
        <v>64440.3</v>
      </c>
      <c r="E30" s="111">
        <f t="shared" si="21"/>
        <v>6373.9</v>
      </c>
      <c r="F30" s="111">
        <f t="shared" ref="F30" si="22">SUM(F31:F33)</f>
        <v>13147.7</v>
      </c>
      <c r="G30" s="111">
        <f t="shared" si="21"/>
        <v>6347.6</v>
      </c>
      <c r="H30" s="188">
        <f t="shared" si="2"/>
        <v>7.0000000000000001E-3</v>
      </c>
      <c r="I30" s="177">
        <f t="shared" si="3"/>
        <v>0.996</v>
      </c>
      <c r="J30" s="178">
        <f t="shared" si="4"/>
        <v>-58092.7</v>
      </c>
      <c r="K30" s="177">
        <f t="shared" si="5"/>
        <v>9.9000000000000005E-2</v>
      </c>
      <c r="L30" s="226">
        <f t="shared" si="8"/>
        <v>-6800.1</v>
      </c>
      <c r="M30" s="20"/>
    </row>
    <row r="31" spans="1:13" s="18" customFormat="1" ht="94.5">
      <c r="A31" s="13" t="s">
        <v>160</v>
      </c>
      <c r="B31" s="41" t="s">
        <v>113</v>
      </c>
      <c r="C31" s="110">
        <v>1466.1</v>
      </c>
      <c r="D31" s="24">
        <v>58215.3</v>
      </c>
      <c r="E31" s="24">
        <v>1205.0999999999999</v>
      </c>
      <c r="F31" s="33">
        <v>2894.4</v>
      </c>
      <c r="G31" s="33">
        <v>1201.2</v>
      </c>
      <c r="H31" s="182">
        <f t="shared" si="2"/>
        <v>1E-3</v>
      </c>
      <c r="I31" s="177">
        <f t="shared" si="3"/>
        <v>0.997</v>
      </c>
      <c r="J31" s="227">
        <f t="shared" si="4"/>
        <v>-57014.1</v>
      </c>
      <c r="K31" s="177">
        <f t="shared" si="5"/>
        <v>2.1000000000000001E-2</v>
      </c>
      <c r="L31" s="226">
        <f t="shared" si="8"/>
        <v>-1693.2</v>
      </c>
      <c r="M31" s="20"/>
    </row>
    <row r="32" spans="1:13" s="18" customFormat="1" ht="54">
      <c r="A32" s="13" t="s">
        <v>209</v>
      </c>
      <c r="B32" s="41" t="s">
        <v>41</v>
      </c>
      <c r="C32" s="110">
        <v>6225</v>
      </c>
      <c r="D32" s="24">
        <v>6225</v>
      </c>
      <c r="E32" s="24">
        <v>5168.8</v>
      </c>
      <c r="F32" s="33">
        <v>10253.299999999999</v>
      </c>
      <c r="G32" s="33">
        <v>5146.3999999999996</v>
      </c>
      <c r="H32" s="182">
        <f t="shared" si="2"/>
        <v>6.0000000000000001E-3</v>
      </c>
      <c r="I32" s="177">
        <f>G32/E32</f>
        <v>0.996</v>
      </c>
      <c r="J32" s="227">
        <f t="shared" si="4"/>
        <v>-1078.5999999999999</v>
      </c>
      <c r="K32" s="177">
        <f t="shared" si="5"/>
        <v>0.82699999999999996</v>
      </c>
      <c r="L32" s="226">
        <f t="shared" si="8"/>
        <v>-5106.8999999999996</v>
      </c>
      <c r="M32" s="20"/>
    </row>
    <row r="33" spans="1:13" s="18" customFormat="1" ht="54" hidden="1" customHeight="1">
      <c r="A33" s="13" t="s">
        <v>162</v>
      </c>
      <c r="B33" s="41" t="s">
        <v>133</v>
      </c>
      <c r="C33" s="110">
        <v>0</v>
      </c>
      <c r="D33" s="24">
        <v>0</v>
      </c>
      <c r="E33" s="24"/>
      <c r="F33" s="33">
        <v>0</v>
      </c>
      <c r="G33" s="33">
        <v>0</v>
      </c>
      <c r="H33" s="182">
        <f t="shared" si="2"/>
        <v>0</v>
      </c>
      <c r="I33" s="177" t="e">
        <f t="shared" ref="I33:I37" si="23">G33/E33</f>
        <v>#DIV/0!</v>
      </c>
      <c r="J33" s="227">
        <f t="shared" si="4"/>
        <v>0</v>
      </c>
      <c r="K33" s="177" t="e">
        <f t="shared" si="5"/>
        <v>#DIV/0!</v>
      </c>
      <c r="L33" s="226">
        <f t="shared" si="8"/>
        <v>0</v>
      </c>
      <c r="M33" s="20"/>
    </row>
    <row r="34" spans="1:13" s="18" customFormat="1" ht="12.75" customHeight="1">
      <c r="A34" s="43" t="s">
        <v>131</v>
      </c>
      <c r="B34" s="44" t="s">
        <v>132</v>
      </c>
      <c r="C34" s="112">
        <f>SUM(C35:C37)</f>
        <v>0</v>
      </c>
      <c r="D34" s="112">
        <f t="shared" ref="D34:G34" si="24">SUM(D35:D37)</f>
        <v>0</v>
      </c>
      <c r="E34" s="112">
        <f t="shared" si="24"/>
        <v>0</v>
      </c>
      <c r="F34" s="112">
        <f t="shared" ref="F34" si="25">SUM(F35:F37)</f>
        <v>102.3</v>
      </c>
      <c r="G34" s="112">
        <f t="shared" si="24"/>
        <v>86.7</v>
      </c>
      <c r="H34" s="188">
        <f t="shared" si="2"/>
        <v>0</v>
      </c>
      <c r="I34" s="177">
        <v>0</v>
      </c>
      <c r="J34" s="178">
        <f t="shared" si="4"/>
        <v>86.7</v>
      </c>
      <c r="K34" s="177">
        <v>0</v>
      </c>
      <c r="L34" s="226">
        <f t="shared" si="8"/>
        <v>-15.6</v>
      </c>
      <c r="M34" s="20"/>
    </row>
    <row r="35" spans="1:13" s="18" customFormat="1" ht="40.5" hidden="1" customHeight="1">
      <c r="A35" s="13" t="s">
        <v>220</v>
      </c>
      <c r="B35" s="41" t="s">
        <v>219</v>
      </c>
      <c r="C35" s="110">
        <v>0</v>
      </c>
      <c r="D35" s="24">
        <v>0</v>
      </c>
      <c r="E35" s="24"/>
      <c r="F35" s="33">
        <v>0</v>
      </c>
      <c r="G35" s="33">
        <v>0</v>
      </c>
      <c r="H35" s="182">
        <f t="shared" si="2"/>
        <v>0</v>
      </c>
      <c r="I35" s="177" t="e">
        <f t="shared" si="23"/>
        <v>#DIV/0!</v>
      </c>
      <c r="J35" s="227">
        <f t="shared" si="4"/>
        <v>0</v>
      </c>
      <c r="K35" s="177" t="e">
        <f t="shared" si="5"/>
        <v>#DIV/0!</v>
      </c>
      <c r="L35" s="226">
        <f t="shared" si="8"/>
        <v>0</v>
      </c>
      <c r="M35" s="20"/>
    </row>
    <row r="36" spans="1:13" s="18" customFormat="1" ht="54">
      <c r="A36" s="13" t="s">
        <v>216</v>
      </c>
      <c r="B36" s="41" t="s">
        <v>151</v>
      </c>
      <c r="C36" s="110">
        <v>0</v>
      </c>
      <c r="D36" s="24">
        <v>0</v>
      </c>
      <c r="E36" s="24">
        <v>0</v>
      </c>
      <c r="F36" s="33">
        <v>102.3</v>
      </c>
      <c r="G36" s="33">
        <v>86.7</v>
      </c>
      <c r="H36" s="182">
        <f t="shared" si="2"/>
        <v>0</v>
      </c>
      <c r="I36" s="177">
        <v>0</v>
      </c>
      <c r="J36" s="227">
        <f t="shared" si="4"/>
        <v>86.7</v>
      </c>
      <c r="K36" s="177">
        <v>0</v>
      </c>
      <c r="L36" s="226">
        <f t="shared" si="8"/>
        <v>-15.6</v>
      </c>
      <c r="M36" s="20"/>
    </row>
    <row r="37" spans="1:13" s="18" customFormat="1" ht="54" hidden="1" customHeight="1">
      <c r="A37" s="13" t="s">
        <v>222</v>
      </c>
      <c r="B37" s="41" t="s">
        <v>221</v>
      </c>
      <c r="C37" s="110">
        <v>0</v>
      </c>
      <c r="D37" s="24">
        <v>0</v>
      </c>
      <c r="E37" s="24"/>
      <c r="F37" s="33">
        <v>0</v>
      </c>
      <c r="G37" s="33">
        <v>0</v>
      </c>
      <c r="H37" s="182">
        <f t="shared" si="2"/>
        <v>0</v>
      </c>
      <c r="I37" s="177" t="e">
        <f t="shared" si="23"/>
        <v>#DIV/0!</v>
      </c>
      <c r="J37" s="227">
        <f t="shared" si="4"/>
        <v>0</v>
      </c>
      <c r="K37" s="177" t="e">
        <f t="shared" si="5"/>
        <v>#DIV/0!</v>
      </c>
      <c r="L37" s="226">
        <f t="shared" si="8"/>
        <v>0</v>
      </c>
      <c r="M37" s="20"/>
    </row>
    <row r="38" spans="1:13" s="18" customFormat="1">
      <c r="A38" s="43" t="s">
        <v>3</v>
      </c>
      <c r="B38" s="44" t="s">
        <v>5</v>
      </c>
      <c r="C38" s="112">
        <f>SUM(C39:C40)</f>
        <v>0</v>
      </c>
      <c r="D38" s="112">
        <f>SUM(D39:D40)</f>
        <v>0</v>
      </c>
      <c r="E38" s="112">
        <f>SUM(E39:E40)</f>
        <v>0</v>
      </c>
      <c r="F38" s="112">
        <f t="shared" ref="F38" si="26">SUM(F39:F40)</f>
        <v>-0.1</v>
      </c>
      <c r="G38" s="112">
        <f t="shared" ref="G38" si="27">SUM(G39:G40)</f>
        <v>0</v>
      </c>
      <c r="H38" s="188">
        <f t="shared" si="2"/>
        <v>0</v>
      </c>
      <c r="I38" s="177">
        <v>0</v>
      </c>
      <c r="J38" s="178">
        <f t="shared" si="4"/>
        <v>0</v>
      </c>
      <c r="K38" s="177">
        <v>0</v>
      </c>
      <c r="L38" s="226">
        <f t="shared" si="8"/>
        <v>0.1</v>
      </c>
      <c r="M38" s="20"/>
    </row>
    <row r="39" spans="1:13" s="18" customFormat="1" ht="27">
      <c r="A39" s="13" t="s">
        <v>152</v>
      </c>
      <c r="B39" s="41" t="s">
        <v>48</v>
      </c>
      <c r="C39" s="110">
        <v>0</v>
      </c>
      <c r="D39" s="24">
        <v>0</v>
      </c>
      <c r="E39" s="24">
        <v>0</v>
      </c>
      <c r="F39" s="33">
        <v>-0.1</v>
      </c>
      <c r="G39" s="33">
        <v>0</v>
      </c>
      <c r="H39" s="182">
        <f t="shared" si="2"/>
        <v>0</v>
      </c>
      <c r="I39" s="177">
        <v>0</v>
      </c>
      <c r="J39" s="227">
        <f t="shared" si="4"/>
        <v>0</v>
      </c>
      <c r="K39" s="177">
        <v>0</v>
      </c>
      <c r="L39" s="226">
        <f t="shared" si="8"/>
        <v>0.1</v>
      </c>
      <c r="M39" s="20"/>
    </row>
    <row r="40" spans="1:13" s="18" customFormat="1" ht="27" hidden="1" customHeight="1">
      <c r="A40" s="13" t="s">
        <v>157</v>
      </c>
      <c r="B40" s="41" t="s">
        <v>161</v>
      </c>
      <c r="C40" s="110">
        <v>0</v>
      </c>
      <c r="D40" s="24">
        <v>0</v>
      </c>
      <c r="E40" s="24"/>
      <c r="F40" s="33">
        <v>0</v>
      </c>
      <c r="G40" s="33">
        <v>0</v>
      </c>
      <c r="H40" s="182">
        <f>G40/Всего_доходов_2003</f>
        <v>0</v>
      </c>
      <c r="I40" s="177" t="e">
        <f t="shared" ref="I40:I61" si="28">G40/E40</f>
        <v>#DIV/0!</v>
      </c>
      <c r="J40" s="227">
        <f t="shared" si="4"/>
        <v>0</v>
      </c>
      <c r="K40" s="177" t="e">
        <f t="shared" si="5"/>
        <v>#DIV/0!</v>
      </c>
      <c r="L40" s="226">
        <f t="shared" si="8"/>
        <v>0</v>
      </c>
      <c r="M40" s="20"/>
    </row>
    <row r="41" spans="1:13" s="18" customFormat="1">
      <c r="A41" s="43" t="s">
        <v>39</v>
      </c>
      <c r="B41" s="48" t="s">
        <v>4</v>
      </c>
      <c r="C41" s="112">
        <f t="shared" ref="C41:G41" si="29">SUM(C42,C44,C54,C51,C56,C59)</f>
        <v>32373.8</v>
      </c>
      <c r="D41" s="112">
        <f t="shared" si="29"/>
        <v>614045.1</v>
      </c>
      <c r="E41" s="112">
        <f t="shared" si="29"/>
        <v>350979.6</v>
      </c>
      <c r="F41" s="112">
        <f>SUM(F42,F44,F54,F51,F56,F59)</f>
        <v>476751.2</v>
      </c>
      <c r="G41" s="112">
        <f t="shared" si="29"/>
        <v>351179.6</v>
      </c>
      <c r="H41" s="188">
        <f>G41/Всего_доходов_2003</f>
        <v>0.41399999999999998</v>
      </c>
      <c r="I41" s="177">
        <f t="shared" si="28"/>
        <v>1.0009999999999999</v>
      </c>
      <c r="J41" s="178">
        <f t="shared" si="4"/>
        <v>-262865.5</v>
      </c>
      <c r="K41" s="177">
        <f t="shared" si="5"/>
        <v>0.57199999999999995</v>
      </c>
      <c r="L41" s="226">
        <f t="shared" si="8"/>
        <v>-125571.6</v>
      </c>
      <c r="M41" s="20"/>
    </row>
    <row r="42" spans="1:13" s="18" customFormat="1" ht="27">
      <c r="A42" s="49" t="s">
        <v>238</v>
      </c>
      <c r="B42" s="50" t="s">
        <v>181</v>
      </c>
      <c r="C42" s="112">
        <f>C43</f>
        <v>12375</v>
      </c>
      <c r="D42" s="112">
        <f t="shared" ref="D42:G42" si="30">D43</f>
        <v>12375</v>
      </c>
      <c r="E42" s="112">
        <f t="shared" si="30"/>
        <v>9010.9</v>
      </c>
      <c r="F42" s="112">
        <f t="shared" si="30"/>
        <v>8154.3</v>
      </c>
      <c r="G42" s="112">
        <f t="shared" si="30"/>
        <v>9010.9</v>
      </c>
      <c r="H42" s="188">
        <f>G42/Всего_доходов_2003</f>
        <v>1.0999999999999999E-2</v>
      </c>
      <c r="I42" s="177">
        <f t="shared" si="28"/>
        <v>1</v>
      </c>
      <c r="J42" s="178">
        <f t="shared" si="4"/>
        <v>-3364.1</v>
      </c>
      <c r="K42" s="177">
        <f t="shared" si="5"/>
        <v>0.72799999999999998</v>
      </c>
      <c r="L42" s="226">
        <f t="shared" si="8"/>
        <v>856.6</v>
      </c>
      <c r="M42" s="20"/>
    </row>
    <row r="43" spans="1:13" s="18" customFormat="1" ht="27">
      <c r="A43" s="51" t="s">
        <v>237</v>
      </c>
      <c r="B43" s="52" t="s">
        <v>182</v>
      </c>
      <c r="C43" s="110">
        <v>12375</v>
      </c>
      <c r="D43" s="131">
        <v>12375</v>
      </c>
      <c r="E43" s="33">
        <v>9010.9</v>
      </c>
      <c r="F43" s="33">
        <v>8154.3</v>
      </c>
      <c r="G43" s="33">
        <v>9010.9</v>
      </c>
      <c r="H43" s="182">
        <f>G43/Всего_доходов_2003</f>
        <v>1.0999999999999999E-2</v>
      </c>
      <c r="I43" s="177">
        <f t="shared" si="28"/>
        <v>1</v>
      </c>
      <c r="J43" s="227">
        <f t="shared" si="4"/>
        <v>-3364.1</v>
      </c>
      <c r="K43" s="177">
        <f t="shared" si="5"/>
        <v>0.72799999999999998</v>
      </c>
      <c r="L43" s="226">
        <f t="shared" si="8"/>
        <v>856.6</v>
      </c>
      <c r="M43" s="20"/>
    </row>
    <row r="44" spans="1:13" s="18" customFormat="1" ht="40.5" customHeight="1">
      <c r="A44" s="53" t="s">
        <v>244</v>
      </c>
      <c r="B44" s="48" t="s">
        <v>114</v>
      </c>
      <c r="C44" s="112">
        <f>SUM(C45:C50)</f>
        <v>6565.2</v>
      </c>
      <c r="D44" s="112">
        <f t="shared" ref="D44:G44" si="31">SUM(D45:D50)</f>
        <v>286382.5</v>
      </c>
      <c r="E44" s="112">
        <f t="shared" si="31"/>
        <v>106243.5</v>
      </c>
      <c r="F44" s="112">
        <f t="shared" si="31"/>
        <v>212198.8</v>
      </c>
      <c r="G44" s="112">
        <f t="shared" si="31"/>
        <v>106243.5</v>
      </c>
      <c r="H44" s="188">
        <f>G44/Всего_доходов_2003</f>
        <v>0.125</v>
      </c>
      <c r="I44" s="177">
        <f t="shared" si="28"/>
        <v>1</v>
      </c>
      <c r="J44" s="178">
        <f t="shared" si="4"/>
        <v>-180139</v>
      </c>
      <c r="K44" s="177">
        <f t="shared" si="5"/>
        <v>0.371</v>
      </c>
      <c r="L44" s="226">
        <f t="shared" si="8"/>
        <v>-105955.3</v>
      </c>
      <c r="M44" s="20"/>
    </row>
    <row r="45" spans="1:13" s="22" customFormat="1" ht="60" customHeight="1">
      <c r="A45" s="99" t="s">
        <v>236</v>
      </c>
      <c r="B45" s="98" t="s">
        <v>211</v>
      </c>
      <c r="C45" s="110">
        <v>0</v>
      </c>
      <c r="D45" s="131">
        <v>89755.3</v>
      </c>
      <c r="E45" s="33">
        <v>67574.3</v>
      </c>
      <c r="F45" s="33">
        <v>62568.800000000003</v>
      </c>
      <c r="G45" s="33">
        <v>67574.3</v>
      </c>
      <c r="H45" s="182">
        <f t="shared" ref="H45:H52" si="32">G45/Всего_доходов_2003</f>
        <v>0.08</v>
      </c>
      <c r="I45" s="177">
        <f t="shared" si="28"/>
        <v>1</v>
      </c>
      <c r="J45" s="227">
        <f>G45-D45</f>
        <v>-22181</v>
      </c>
      <c r="K45" s="177">
        <f t="shared" si="5"/>
        <v>0.753</v>
      </c>
      <c r="L45" s="226">
        <f t="shared" si="8"/>
        <v>5005.5</v>
      </c>
    </row>
    <row r="46" spans="1:13" s="22" customFormat="1" ht="60" customHeight="1">
      <c r="A46" s="99" t="s">
        <v>245</v>
      </c>
      <c r="B46" s="98" t="s">
        <v>246</v>
      </c>
      <c r="C46" s="110">
        <v>0</v>
      </c>
      <c r="D46" s="131">
        <v>72580</v>
      </c>
      <c r="E46" s="33">
        <v>20909.2</v>
      </c>
      <c r="F46" s="33">
        <v>0</v>
      </c>
      <c r="G46" s="33">
        <v>20909.2</v>
      </c>
      <c r="H46" s="182">
        <f t="shared" si="32"/>
        <v>2.5000000000000001E-2</v>
      </c>
      <c r="I46" s="177">
        <f t="shared" si="28"/>
        <v>1</v>
      </c>
      <c r="J46" s="227">
        <f t="shared" ref="J46:J61" si="33">G46-D46</f>
        <v>-51670.8</v>
      </c>
      <c r="K46" s="177">
        <f t="shared" si="5"/>
        <v>0.28799999999999998</v>
      </c>
      <c r="L46" s="226">
        <f t="shared" si="8"/>
        <v>20909.2</v>
      </c>
    </row>
    <row r="47" spans="1:13" s="22" customFormat="1" ht="81">
      <c r="A47" s="99" t="s">
        <v>270</v>
      </c>
      <c r="B47" s="98" t="s">
        <v>208</v>
      </c>
      <c r="C47" s="110">
        <v>0</v>
      </c>
      <c r="D47" s="131">
        <v>0</v>
      </c>
      <c r="E47" s="33">
        <v>0</v>
      </c>
      <c r="F47" s="33">
        <v>149630</v>
      </c>
      <c r="G47" s="33">
        <v>0</v>
      </c>
      <c r="H47" s="182">
        <f t="shared" si="32"/>
        <v>0</v>
      </c>
      <c r="I47" s="177">
        <v>0</v>
      </c>
      <c r="J47" s="227">
        <f t="shared" si="33"/>
        <v>0</v>
      </c>
      <c r="K47" s="177">
        <v>0</v>
      </c>
      <c r="L47" s="226">
        <f t="shared" si="8"/>
        <v>-149630</v>
      </c>
    </row>
    <row r="48" spans="1:13" s="22" customFormat="1" ht="60" customHeight="1">
      <c r="A48" s="99" t="s">
        <v>268</v>
      </c>
      <c r="B48" s="98" t="s">
        <v>269</v>
      </c>
      <c r="C48" s="110">
        <v>0</v>
      </c>
      <c r="D48" s="131">
        <v>2482</v>
      </c>
      <c r="E48" s="33">
        <v>0</v>
      </c>
      <c r="F48" s="33">
        <v>0</v>
      </c>
      <c r="G48" s="33">
        <v>0</v>
      </c>
      <c r="H48" s="182">
        <f t="shared" si="32"/>
        <v>0</v>
      </c>
      <c r="I48" s="177">
        <v>0</v>
      </c>
      <c r="J48" s="227">
        <f t="shared" si="33"/>
        <v>-2482</v>
      </c>
      <c r="K48" s="177">
        <f t="shared" si="5"/>
        <v>0</v>
      </c>
      <c r="L48" s="226">
        <f t="shared" si="8"/>
        <v>0</v>
      </c>
    </row>
    <row r="49" spans="1:13" s="22" customFormat="1" ht="40.5">
      <c r="A49" s="99" t="s">
        <v>247</v>
      </c>
      <c r="B49" s="98" t="s">
        <v>248</v>
      </c>
      <c r="C49" s="110">
        <v>6565.2</v>
      </c>
      <c r="D49" s="131">
        <v>6565.2</v>
      </c>
      <c r="E49" s="33">
        <v>2760</v>
      </c>
      <c r="F49" s="33">
        <v>0</v>
      </c>
      <c r="G49" s="33">
        <v>2760</v>
      </c>
      <c r="H49" s="182">
        <f t="shared" si="32"/>
        <v>3.0000000000000001E-3</v>
      </c>
      <c r="I49" s="177">
        <f t="shared" si="28"/>
        <v>1</v>
      </c>
      <c r="J49" s="227">
        <f t="shared" si="33"/>
        <v>-3805.2</v>
      </c>
      <c r="K49" s="177">
        <f t="shared" si="5"/>
        <v>0.42</v>
      </c>
      <c r="L49" s="226">
        <f t="shared" si="8"/>
        <v>2760</v>
      </c>
    </row>
    <row r="50" spans="1:13" s="22" customFormat="1" ht="78.75" customHeight="1">
      <c r="A50" s="99" t="s">
        <v>243</v>
      </c>
      <c r="B50" s="98" t="s">
        <v>208</v>
      </c>
      <c r="C50" s="110">
        <v>0</v>
      </c>
      <c r="D50" s="131">
        <v>115000</v>
      </c>
      <c r="E50" s="33">
        <v>15000</v>
      </c>
      <c r="F50" s="33">
        <v>0</v>
      </c>
      <c r="G50" s="33">
        <v>15000</v>
      </c>
      <c r="H50" s="182">
        <f t="shared" si="32"/>
        <v>1.7999999999999999E-2</v>
      </c>
      <c r="I50" s="177">
        <f t="shared" si="28"/>
        <v>1</v>
      </c>
      <c r="J50" s="227">
        <f t="shared" si="33"/>
        <v>-100000</v>
      </c>
      <c r="K50" s="177">
        <f t="shared" si="5"/>
        <v>0.13</v>
      </c>
      <c r="L50" s="226">
        <f t="shared" si="8"/>
        <v>15000</v>
      </c>
    </row>
    <row r="51" spans="1:13" s="22" customFormat="1" ht="13.5" customHeight="1">
      <c r="A51" s="122" t="s">
        <v>234</v>
      </c>
      <c r="B51" s="123" t="s">
        <v>190</v>
      </c>
      <c r="C51" s="113">
        <f>SUM(C52:C53)</f>
        <v>13433.6</v>
      </c>
      <c r="D51" s="113">
        <f>SUM(D52:D53)</f>
        <v>14332.6</v>
      </c>
      <c r="E51" s="113">
        <f t="shared" ref="E51:G51" si="34">SUM(E52:E53)</f>
        <v>10500.2</v>
      </c>
      <c r="F51" s="113">
        <f t="shared" si="34"/>
        <v>5115.3</v>
      </c>
      <c r="G51" s="113">
        <f t="shared" si="34"/>
        <v>10500.2</v>
      </c>
      <c r="H51" s="188">
        <f t="shared" si="32"/>
        <v>1.2E-2</v>
      </c>
      <c r="I51" s="177">
        <f t="shared" si="28"/>
        <v>1</v>
      </c>
      <c r="J51" s="178">
        <f t="shared" si="33"/>
        <v>-3832.4</v>
      </c>
      <c r="K51" s="177">
        <f t="shared" si="5"/>
        <v>0.73299999999999998</v>
      </c>
      <c r="L51" s="226">
        <f t="shared" si="8"/>
        <v>5384.9</v>
      </c>
    </row>
    <row r="52" spans="1:13" s="22" customFormat="1" ht="40.5">
      <c r="A52" s="99" t="s">
        <v>235</v>
      </c>
      <c r="B52" s="141" t="s">
        <v>210</v>
      </c>
      <c r="C52" s="110">
        <v>13433.6</v>
      </c>
      <c r="D52" s="131">
        <v>13433.6</v>
      </c>
      <c r="E52" s="33">
        <v>10075.200000000001</v>
      </c>
      <c r="F52" s="33">
        <v>5115.3</v>
      </c>
      <c r="G52" s="33">
        <v>10075.200000000001</v>
      </c>
      <c r="H52" s="158">
        <f t="shared" si="32"/>
        <v>1.2E-2</v>
      </c>
      <c r="I52" s="177">
        <f t="shared" ref="I52" si="35">G52/E52</f>
        <v>1</v>
      </c>
      <c r="J52" s="227">
        <f t="shared" ref="J52" si="36">G52-D52</f>
        <v>-3358.4</v>
      </c>
      <c r="K52" s="177">
        <f t="shared" ref="K52" si="37">G52/D52</f>
        <v>0.75</v>
      </c>
      <c r="L52" s="226">
        <f t="shared" ref="L52" si="38">G52-F52</f>
        <v>4959.8999999999996</v>
      </c>
    </row>
    <row r="53" spans="1:13" s="22" customFormat="1" ht="67.5">
      <c r="A53" s="99" t="s">
        <v>285</v>
      </c>
      <c r="B53" s="141" t="s">
        <v>284</v>
      </c>
      <c r="C53" s="110">
        <v>0</v>
      </c>
      <c r="D53" s="131">
        <v>899</v>
      </c>
      <c r="E53" s="33">
        <v>425</v>
      </c>
      <c r="F53" s="33">
        <v>0</v>
      </c>
      <c r="G53" s="33">
        <v>425</v>
      </c>
      <c r="H53" s="158">
        <f t="shared" ref="H53:H61" si="39">G53/Всего_доходов_2003</f>
        <v>1E-3</v>
      </c>
      <c r="I53" s="177">
        <f t="shared" si="28"/>
        <v>1</v>
      </c>
      <c r="J53" s="227">
        <f t="shared" si="33"/>
        <v>-474</v>
      </c>
      <c r="K53" s="177">
        <f t="shared" si="5"/>
        <v>0.47299999999999998</v>
      </c>
      <c r="L53" s="226">
        <f t="shared" si="8"/>
        <v>425</v>
      </c>
    </row>
    <row r="54" spans="1:13" s="18" customFormat="1">
      <c r="A54" s="53" t="s">
        <v>234</v>
      </c>
      <c r="B54" s="48" t="s">
        <v>217</v>
      </c>
      <c r="C54" s="113">
        <f>C55</f>
        <v>0</v>
      </c>
      <c r="D54" s="113">
        <f>D55</f>
        <v>299900</v>
      </c>
      <c r="E54" s="113">
        <f>E55</f>
        <v>224177.7</v>
      </c>
      <c r="F54" s="113">
        <f>F55</f>
        <v>250582.7</v>
      </c>
      <c r="G54" s="113">
        <f>G55</f>
        <v>224177.7</v>
      </c>
      <c r="H54" s="188">
        <f t="shared" si="39"/>
        <v>0.26400000000000001</v>
      </c>
      <c r="I54" s="177">
        <f t="shared" si="28"/>
        <v>1</v>
      </c>
      <c r="J54" s="178">
        <f t="shared" si="33"/>
        <v>-75722.3</v>
      </c>
      <c r="K54" s="177">
        <f t="shared" si="5"/>
        <v>0.748</v>
      </c>
      <c r="L54" s="226">
        <f t="shared" si="8"/>
        <v>-26405</v>
      </c>
      <c r="M54" s="20"/>
    </row>
    <row r="55" spans="1:13" s="18" customFormat="1" ht="27">
      <c r="A55" s="51" t="s">
        <v>233</v>
      </c>
      <c r="B55" s="52" t="s">
        <v>218</v>
      </c>
      <c r="C55" s="110">
        <v>0</v>
      </c>
      <c r="D55" s="131">
        <v>299900</v>
      </c>
      <c r="E55" s="33">
        <v>224177.7</v>
      </c>
      <c r="F55" s="131">
        <v>250582.7</v>
      </c>
      <c r="G55" s="131">
        <v>224177.7</v>
      </c>
      <c r="H55" s="182">
        <f t="shared" si="39"/>
        <v>0.26400000000000001</v>
      </c>
      <c r="I55" s="177">
        <f t="shared" si="28"/>
        <v>1</v>
      </c>
      <c r="J55" s="227">
        <f t="shared" si="33"/>
        <v>-75722.3</v>
      </c>
      <c r="K55" s="177">
        <f t="shared" si="5"/>
        <v>0.748</v>
      </c>
      <c r="L55" s="226">
        <f t="shared" si="8"/>
        <v>-26405</v>
      </c>
      <c r="M55" s="20"/>
    </row>
    <row r="56" spans="1:13" s="18" customFormat="1">
      <c r="A56" s="53" t="s">
        <v>241</v>
      </c>
      <c r="B56" s="48" t="s">
        <v>240</v>
      </c>
      <c r="C56" s="113">
        <f>C57+C58</f>
        <v>0</v>
      </c>
      <c r="D56" s="113">
        <f t="shared" ref="D56:G56" si="40">D57+D58</f>
        <v>1055</v>
      </c>
      <c r="E56" s="113">
        <f t="shared" si="40"/>
        <v>1047.3</v>
      </c>
      <c r="F56" s="113">
        <f t="shared" si="40"/>
        <v>700</v>
      </c>
      <c r="G56" s="113">
        <f t="shared" si="40"/>
        <v>1047.3</v>
      </c>
      <c r="H56" s="113">
        <f t="shared" si="39"/>
        <v>0</v>
      </c>
      <c r="I56" s="177">
        <f t="shared" si="28"/>
        <v>1</v>
      </c>
      <c r="J56" s="178">
        <f t="shared" si="33"/>
        <v>-7.7</v>
      </c>
      <c r="K56" s="177">
        <f t="shared" si="5"/>
        <v>0.99299999999999999</v>
      </c>
      <c r="L56" s="226">
        <f t="shared" si="8"/>
        <v>347.3</v>
      </c>
      <c r="M56" s="20"/>
    </row>
    <row r="57" spans="1:13" s="18" customFormat="1" ht="27">
      <c r="A57" s="212" t="s">
        <v>286</v>
      </c>
      <c r="B57" s="213" t="s">
        <v>239</v>
      </c>
      <c r="C57" s="110">
        <v>0</v>
      </c>
      <c r="D57" s="131">
        <v>900</v>
      </c>
      <c r="E57" s="33">
        <v>900</v>
      </c>
      <c r="F57" s="131">
        <v>700</v>
      </c>
      <c r="G57" s="131">
        <v>900</v>
      </c>
      <c r="H57" s="182">
        <f t="shared" si="39"/>
        <v>1E-3</v>
      </c>
      <c r="I57" s="177">
        <f t="shared" si="28"/>
        <v>1</v>
      </c>
      <c r="J57" s="227">
        <f t="shared" si="33"/>
        <v>0</v>
      </c>
      <c r="K57" s="177">
        <f t="shared" si="5"/>
        <v>1</v>
      </c>
      <c r="L57" s="226">
        <f t="shared" si="8"/>
        <v>200</v>
      </c>
      <c r="M57" s="20"/>
    </row>
    <row r="58" spans="1:13" s="18" customFormat="1" ht="27">
      <c r="A58" s="212" t="s">
        <v>242</v>
      </c>
      <c r="B58" s="213" t="s">
        <v>239</v>
      </c>
      <c r="C58" s="110">
        <v>0</v>
      </c>
      <c r="D58" s="131">
        <v>155</v>
      </c>
      <c r="E58" s="33">
        <v>147.30000000000001</v>
      </c>
      <c r="F58" s="131">
        <v>0</v>
      </c>
      <c r="G58" s="131">
        <v>147.30000000000001</v>
      </c>
      <c r="H58" s="182">
        <f t="shared" si="39"/>
        <v>0</v>
      </c>
      <c r="I58" s="177">
        <f t="shared" si="28"/>
        <v>1</v>
      </c>
      <c r="J58" s="227">
        <f t="shared" si="33"/>
        <v>-7.7</v>
      </c>
      <c r="K58" s="177">
        <f t="shared" si="5"/>
        <v>0.95</v>
      </c>
      <c r="L58" s="226">
        <f t="shared" si="8"/>
        <v>147.30000000000001</v>
      </c>
      <c r="M58" s="20"/>
    </row>
    <row r="59" spans="1:13" s="18" customFormat="1" ht="81">
      <c r="A59" s="53" t="s">
        <v>271</v>
      </c>
      <c r="B59" s="48" t="s">
        <v>272</v>
      </c>
      <c r="C59" s="113">
        <f>C60</f>
        <v>0</v>
      </c>
      <c r="D59" s="113">
        <f t="shared" ref="D59:G59" si="41">D60</f>
        <v>0</v>
      </c>
      <c r="E59" s="113">
        <f t="shared" si="41"/>
        <v>0</v>
      </c>
      <c r="F59" s="113">
        <f t="shared" si="41"/>
        <v>0.1</v>
      </c>
      <c r="G59" s="113">
        <f t="shared" si="41"/>
        <v>200</v>
      </c>
      <c r="H59" s="188">
        <f>G59/Всего_доходов_2003</f>
        <v>0</v>
      </c>
      <c r="I59" s="177">
        <v>0</v>
      </c>
      <c r="J59" s="206">
        <f t="shared" si="33"/>
        <v>200</v>
      </c>
      <c r="K59" s="177">
        <v>0</v>
      </c>
      <c r="L59" s="226">
        <f t="shared" si="8"/>
        <v>199.9</v>
      </c>
      <c r="M59" s="20"/>
    </row>
    <row r="60" spans="1:13" s="18" customFormat="1" ht="40.5">
      <c r="A60" s="51" t="s">
        <v>273</v>
      </c>
      <c r="B60" s="52" t="s">
        <v>274</v>
      </c>
      <c r="C60" s="110">
        <v>0</v>
      </c>
      <c r="D60" s="131">
        <v>0</v>
      </c>
      <c r="E60" s="33">
        <v>0</v>
      </c>
      <c r="F60" s="131">
        <v>0.1</v>
      </c>
      <c r="G60" s="131">
        <v>200</v>
      </c>
      <c r="H60" s="182">
        <f>G60/Всего_доходов_2003</f>
        <v>0</v>
      </c>
      <c r="I60" s="177">
        <v>0</v>
      </c>
      <c r="J60" s="205">
        <f t="shared" si="33"/>
        <v>200</v>
      </c>
      <c r="K60" s="177">
        <v>0</v>
      </c>
      <c r="L60" s="226">
        <f t="shared" si="8"/>
        <v>199.9</v>
      </c>
      <c r="M60" s="20"/>
    </row>
    <row r="61" spans="1:13" s="23" customFormat="1">
      <c r="A61" s="104"/>
      <c r="B61" s="185" t="s">
        <v>6</v>
      </c>
      <c r="C61" s="186">
        <f>C6+C41</f>
        <v>689100.1</v>
      </c>
      <c r="D61" s="186">
        <f>D6+D41</f>
        <v>1427820.6</v>
      </c>
      <c r="E61" s="186">
        <f>E6+E41</f>
        <v>849658.9</v>
      </c>
      <c r="F61" s="186">
        <f>F6+F41</f>
        <v>888953.5</v>
      </c>
      <c r="G61" s="186">
        <f>G6+G41</f>
        <v>848996.3</v>
      </c>
      <c r="H61" s="71">
        <f t="shared" si="39"/>
        <v>1</v>
      </c>
      <c r="I61" s="177">
        <f t="shared" si="28"/>
        <v>0.999</v>
      </c>
      <c r="J61" s="178">
        <f t="shared" si="33"/>
        <v>-578824.30000000005</v>
      </c>
      <c r="K61" s="177">
        <f t="shared" si="5"/>
        <v>0.59499999999999997</v>
      </c>
      <c r="L61" s="226">
        <f t="shared" si="8"/>
        <v>-39957.199999999997</v>
      </c>
      <c r="M61" s="214"/>
    </row>
    <row r="62" spans="1:13" s="11" customFormat="1">
      <c r="A62" s="37"/>
      <c r="B62" s="4"/>
      <c r="C62" s="207"/>
      <c r="D62" s="199"/>
      <c r="E62" s="199"/>
      <c r="F62" s="181"/>
      <c r="G62" s="181"/>
      <c r="H62" s="159"/>
      <c r="I62" s="177"/>
      <c r="J62" s="229"/>
      <c r="K62" s="177"/>
      <c r="L62" s="230"/>
    </row>
    <row r="63" spans="1:13" ht="16.5">
      <c r="A63" s="15" t="s">
        <v>10</v>
      </c>
      <c r="B63" s="255" t="s">
        <v>7</v>
      </c>
      <c r="C63" s="4"/>
      <c r="D63" s="199"/>
      <c r="E63" s="199"/>
      <c r="F63" s="105"/>
      <c r="G63" s="105"/>
      <c r="H63" s="160"/>
      <c r="I63" s="177"/>
      <c r="J63" s="217"/>
      <c r="K63" s="177"/>
      <c r="L63" s="231"/>
    </row>
    <row r="64" spans="1:13" s="23" customFormat="1">
      <c r="A64" s="69" t="s">
        <v>21</v>
      </c>
      <c r="B64" s="187" t="s">
        <v>25</v>
      </c>
      <c r="C64" s="70">
        <f>C65+C66+C67+C70+C73+C74</f>
        <v>13979.2</v>
      </c>
      <c r="D64" s="70">
        <f>D65+D66+D67+D70+D73+D74</f>
        <v>112394.7</v>
      </c>
      <c r="E64" s="70">
        <f>E65+E66+E67+E70+E73+E74</f>
        <v>101188.6</v>
      </c>
      <c r="F64" s="70">
        <f>F65+F66+F67+F74+F73+F70</f>
        <v>22403.4</v>
      </c>
      <c r="G64" s="70">
        <f>G65+G66+G67+G74+G73</f>
        <v>101188.6</v>
      </c>
      <c r="H64" s="71">
        <f>G64/G219</f>
        <v>0.11899999999999999</v>
      </c>
      <c r="I64" s="177">
        <f>G64/E64</f>
        <v>1</v>
      </c>
      <c r="J64" s="178">
        <f>G64-D64</f>
        <v>-11206.1</v>
      </c>
      <c r="K64" s="177">
        <f t="shared" si="5"/>
        <v>0.9</v>
      </c>
      <c r="L64" s="179">
        <f>G64-F64</f>
        <v>78785.2</v>
      </c>
    </row>
    <row r="65" spans="1:12" ht="40.5">
      <c r="A65" s="14" t="s">
        <v>45</v>
      </c>
      <c r="B65" s="8" t="s">
        <v>53</v>
      </c>
      <c r="C65" s="154">
        <v>2035.6</v>
      </c>
      <c r="D65" s="154">
        <v>2035.6</v>
      </c>
      <c r="E65" s="154">
        <v>1270.4000000000001</v>
      </c>
      <c r="F65" s="5">
        <v>2023.2</v>
      </c>
      <c r="G65" s="154">
        <v>1270.4000000000001</v>
      </c>
      <c r="H65" s="167">
        <f>G65/$G$219</f>
        <v>1E-3</v>
      </c>
      <c r="I65" s="177">
        <f>G65/E65</f>
        <v>1</v>
      </c>
      <c r="J65" s="217">
        <f>G65-D65</f>
        <v>-765.2</v>
      </c>
      <c r="K65" s="218">
        <f>G65/D65</f>
        <v>0.624</v>
      </c>
      <c r="L65" s="219">
        <f>G65-F65</f>
        <v>-752.8</v>
      </c>
    </row>
    <row r="66" spans="1:12" ht="40.5">
      <c r="A66" s="14" t="s">
        <v>46</v>
      </c>
      <c r="B66" s="8" t="s">
        <v>115</v>
      </c>
      <c r="C66" s="154">
        <v>5016.5</v>
      </c>
      <c r="D66" s="154">
        <v>5016.3999999999996</v>
      </c>
      <c r="E66" s="154">
        <f>2637.3+0.1</f>
        <v>2637.4</v>
      </c>
      <c r="F66" s="5">
        <v>7636.8</v>
      </c>
      <c r="G66" s="154">
        <f>2637.3+0.1</f>
        <v>2637.4</v>
      </c>
      <c r="H66" s="167">
        <f>G66/$G$219</f>
        <v>3.0000000000000001E-3</v>
      </c>
      <c r="I66" s="177">
        <f>G66/E66</f>
        <v>1</v>
      </c>
      <c r="J66" s="217">
        <f>G66-D66</f>
        <v>-2379</v>
      </c>
      <c r="K66" s="218">
        <f>G66/D66</f>
        <v>0.52600000000000002</v>
      </c>
      <c r="L66" s="219">
        <f t="shared" ref="L66:L78" si="42">G66-F66</f>
        <v>-4999.3999999999996</v>
      </c>
    </row>
    <row r="67" spans="1:12" ht="54">
      <c r="A67" s="14" t="s">
        <v>137</v>
      </c>
      <c r="B67" s="8" t="s">
        <v>116</v>
      </c>
      <c r="C67" s="154">
        <f>C69</f>
        <v>4465.1000000000004</v>
      </c>
      <c r="D67" s="154">
        <f>D69</f>
        <v>4465.1000000000004</v>
      </c>
      <c r="E67" s="154">
        <f t="shared" ref="E67:F67" si="43">E69</f>
        <v>2879.9</v>
      </c>
      <c r="F67" s="154">
        <f t="shared" si="43"/>
        <v>3501</v>
      </c>
      <c r="G67" s="154">
        <f t="shared" ref="G67" si="44">G69</f>
        <v>2879.9</v>
      </c>
      <c r="H67" s="167">
        <f>G67/$G$219</f>
        <v>3.0000000000000001E-3</v>
      </c>
      <c r="I67" s="177">
        <f>G67/E67</f>
        <v>1</v>
      </c>
      <c r="J67" s="217">
        <f>G67-D67</f>
        <v>-1585.2</v>
      </c>
      <c r="K67" s="218">
        <f>G67/D67</f>
        <v>0.64500000000000002</v>
      </c>
      <c r="L67" s="219">
        <f t="shared" si="42"/>
        <v>-621.1</v>
      </c>
    </row>
    <row r="68" spans="1:12">
      <c r="A68" s="14"/>
      <c r="B68" s="8" t="s">
        <v>27</v>
      </c>
      <c r="C68" s="154"/>
      <c r="D68" s="154"/>
      <c r="E68" s="154"/>
      <c r="F68" s="5"/>
      <c r="G68" s="154"/>
      <c r="H68" s="167"/>
      <c r="I68" s="177"/>
      <c r="J68" s="217"/>
      <c r="K68" s="218"/>
      <c r="L68" s="219"/>
    </row>
    <row r="69" spans="1:12" s="36" customFormat="1" ht="40.5">
      <c r="A69" s="190" t="s">
        <v>223</v>
      </c>
      <c r="B69" s="32" t="s">
        <v>198</v>
      </c>
      <c r="C69" s="155">
        <v>4465.1000000000004</v>
      </c>
      <c r="D69" s="155">
        <v>4465.1000000000004</v>
      </c>
      <c r="E69" s="155">
        <v>2879.9</v>
      </c>
      <c r="F69" s="155">
        <v>3501</v>
      </c>
      <c r="G69" s="155">
        <v>2879.9</v>
      </c>
      <c r="H69" s="182">
        <f t="shared" ref="H69:H74" si="45">G69/$G$219</f>
        <v>3.0000000000000001E-3</v>
      </c>
      <c r="I69" s="177">
        <f>G69/E69</f>
        <v>1</v>
      </c>
      <c r="J69" s="227">
        <f t="shared" ref="J69:J74" si="46">G69-D69</f>
        <v>-1585.2</v>
      </c>
      <c r="K69" s="232">
        <f>G69/D69</f>
        <v>0.64500000000000002</v>
      </c>
      <c r="L69" s="219">
        <f t="shared" si="42"/>
        <v>-621.1</v>
      </c>
    </row>
    <row r="70" spans="1:12" ht="40.5" customHeight="1">
      <c r="A70" s="14" t="s">
        <v>287</v>
      </c>
      <c r="B70" s="8" t="s">
        <v>288</v>
      </c>
      <c r="C70" s="154">
        <v>0</v>
      </c>
      <c r="D70" s="154">
        <v>0</v>
      </c>
      <c r="E70" s="154">
        <v>0</v>
      </c>
      <c r="F70" s="5">
        <v>7028.1</v>
      </c>
      <c r="G70" s="154">
        <v>0</v>
      </c>
      <c r="H70" s="182">
        <f t="shared" si="45"/>
        <v>0</v>
      </c>
      <c r="I70" s="177">
        <v>0</v>
      </c>
      <c r="J70" s="227">
        <f t="shared" si="46"/>
        <v>0</v>
      </c>
      <c r="K70" s="232">
        <v>0</v>
      </c>
      <c r="L70" s="219">
        <f t="shared" si="42"/>
        <v>-7028.1</v>
      </c>
    </row>
    <row r="71" spans="1:12" ht="13.5" hidden="1" customHeight="1">
      <c r="A71" s="14"/>
      <c r="B71" s="8" t="s">
        <v>27</v>
      </c>
      <c r="C71" s="154"/>
      <c r="D71" s="154"/>
      <c r="E71" s="154"/>
      <c r="F71" s="5"/>
      <c r="G71" s="154"/>
      <c r="H71" s="182">
        <f t="shared" si="45"/>
        <v>0</v>
      </c>
      <c r="I71" s="177" t="e">
        <f>G71/E71</f>
        <v>#DIV/0!</v>
      </c>
      <c r="J71" s="227">
        <f t="shared" si="46"/>
        <v>0</v>
      </c>
      <c r="K71" s="232" t="e">
        <f>G71/D71</f>
        <v>#DIV/0!</v>
      </c>
      <c r="L71" s="219">
        <f t="shared" si="42"/>
        <v>0</v>
      </c>
    </row>
    <row r="72" spans="1:12" s="36" customFormat="1" ht="54" hidden="1" customHeight="1">
      <c r="A72" s="14"/>
      <c r="B72" s="32" t="s">
        <v>134</v>
      </c>
      <c r="C72" s="155">
        <v>0</v>
      </c>
      <c r="D72" s="155">
        <v>0</v>
      </c>
      <c r="E72" s="155"/>
      <c r="F72" s="155">
        <v>0</v>
      </c>
      <c r="G72" s="155"/>
      <c r="H72" s="182">
        <f t="shared" si="45"/>
        <v>0</v>
      </c>
      <c r="I72" s="177" t="e">
        <f>G72/E72</f>
        <v>#DIV/0!</v>
      </c>
      <c r="J72" s="227">
        <f t="shared" si="46"/>
        <v>0</v>
      </c>
      <c r="K72" s="232" t="e">
        <f>G72/D72</f>
        <v>#DIV/0!</v>
      </c>
      <c r="L72" s="219">
        <f t="shared" si="42"/>
        <v>0</v>
      </c>
    </row>
    <row r="73" spans="1:12" hidden="1">
      <c r="A73" s="14" t="s">
        <v>69</v>
      </c>
      <c r="B73" s="8" t="s">
        <v>23</v>
      </c>
      <c r="C73" s="154">
        <v>0</v>
      </c>
      <c r="D73" s="154">
        <v>0</v>
      </c>
      <c r="E73" s="154">
        <v>0</v>
      </c>
      <c r="F73" s="5">
        <v>0</v>
      </c>
      <c r="G73" s="154">
        <v>0</v>
      </c>
      <c r="H73" s="167">
        <f t="shared" si="45"/>
        <v>0</v>
      </c>
      <c r="I73" s="177">
        <v>0</v>
      </c>
      <c r="J73" s="217">
        <f t="shared" si="46"/>
        <v>0</v>
      </c>
      <c r="K73" s="218">
        <v>0</v>
      </c>
      <c r="L73" s="219">
        <f t="shared" si="42"/>
        <v>0</v>
      </c>
    </row>
    <row r="74" spans="1:12" s="1" customFormat="1">
      <c r="A74" s="14" t="s">
        <v>73</v>
      </c>
      <c r="B74" s="8" t="s">
        <v>117</v>
      </c>
      <c r="C74" s="154">
        <v>2462</v>
      </c>
      <c r="D74" s="154">
        <v>100877.6</v>
      </c>
      <c r="E74" s="154">
        <v>94400.9</v>
      </c>
      <c r="F74" s="5">
        <v>2214.3000000000002</v>
      </c>
      <c r="G74" s="154">
        <v>94400.9</v>
      </c>
      <c r="H74" s="167">
        <f t="shared" si="45"/>
        <v>0.111</v>
      </c>
      <c r="I74" s="177">
        <f>G74/E74</f>
        <v>1</v>
      </c>
      <c r="J74" s="217">
        <f t="shared" si="46"/>
        <v>-6476.7</v>
      </c>
      <c r="K74" s="218">
        <f>G74/D74</f>
        <v>0.93600000000000005</v>
      </c>
      <c r="L74" s="219">
        <f t="shared" si="42"/>
        <v>92186.6</v>
      </c>
    </row>
    <row r="75" spans="1:12" s="1" customFormat="1">
      <c r="A75" s="14"/>
      <c r="B75" s="250" t="s">
        <v>122</v>
      </c>
      <c r="C75" s="154"/>
      <c r="D75" s="154"/>
      <c r="E75" s="154"/>
      <c r="F75" s="5"/>
      <c r="G75" s="154"/>
      <c r="H75" s="167"/>
      <c r="I75" s="177"/>
      <c r="J75" s="217"/>
      <c r="K75" s="218"/>
      <c r="L75" s="219">
        <f t="shared" si="42"/>
        <v>0</v>
      </c>
    </row>
    <row r="76" spans="1:12">
      <c r="A76" s="14"/>
      <c r="B76" s="7" t="s">
        <v>99</v>
      </c>
      <c r="C76" s="154">
        <v>4563.5</v>
      </c>
      <c r="D76" s="5">
        <v>6719.5</v>
      </c>
      <c r="E76" s="5">
        <v>3787.1</v>
      </c>
      <c r="F76" s="5">
        <v>9043</v>
      </c>
      <c r="G76" s="5">
        <v>3787.1</v>
      </c>
      <c r="H76" s="167">
        <f>G76/$G$219</f>
        <v>4.0000000000000001E-3</v>
      </c>
      <c r="I76" s="177">
        <f>G76/E76</f>
        <v>1</v>
      </c>
      <c r="J76" s="217">
        <f>G76-D76</f>
        <v>-2932.4</v>
      </c>
      <c r="K76" s="218">
        <f>G76/D76</f>
        <v>0.56399999999999995</v>
      </c>
      <c r="L76" s="219">
        <f t="shared" si="42"/>
        <v>-5255.9</v>
      </c>
    </row>
    <row r="77" spans="1:12" ht="13.5" hidden="1" customHeight="1">
      <c r="A77" s="14"/>
      <c r="B77" s="7" t="s">
        <v>102</v>
      </c>
      <c r="C77" s="154">
        <v>0</v>
      </c>
      <c r="D77" s="5">
        <v>0</v>
      </c>
      <c r="E77" s="5"/>
      <c r="F77" s="5">
        <v>0</v>
      </c>
      <c r="G77" s="5"/>
      <c r="H77" s="167">
        <f>G77/$G$219</f>
        <v>0</v>
      </c>
      <c r="I77" s="177" t="e">
        <f>G77/E77</f>
        <v>#DIV/0!</v>
      </c>
      <c r="J77" s="217">
        <f>G77-D77</f>
        <v>0</v>
      </c>
      <c r="K77" s="218" t="str">
        <f>IF(G77=0,"0,0%", G77/D77)</f>
        <v>0,0%</v>
      </c>
      <c r="L77" s="219">
        <f t="shared" si="42"/>
        <v>0</v>
      </c>
    </row>
    <row r="78" spans="1:12">
      <c r="A78" s="14"/>
      <c r="B78" s="17" t="s">
        <v>143</v>
      </c>
      <c r="C78" s="154">
        <v>6717.1</v>
      </c>
      <c r="D78" s="154">
        <v>8974.5</v>
      </c>
      <c r="E78" s="154">
        <v>4280.8</v>
      </c>
      <c r="F78" s="154">
        <v>5005.8</v>
      </c>
      <c r="G78" s="154">
        <v>4280.8</v>
      </c>
      <c r="H78" s="167">
        <f>G78/$G$219</f>
        <v>5.0000000000000001E-3</v>
      </c>
      <c r="I78" s="177">
        <f>G78/E78</f>
        <v>1</v>
      </c>
      <c r="J78" s="217">
        <f>G78-D78</f>
        <v>-4693.7</v>
      </c>
      <c r="K78" s="218">
        <f>G78/D78</f>
        <v>0.47699999999999998</v>
      </c>
      <c r="L78" s="219">
        <f t="shared" si="42"/>
        <v>-725</v>
      </c>
    </row>
    <row r="79" spans="1:12" s="23" customFormat="1" ht="27">
      <c r="A79" s="69" t="s">
        <v>89</v>
      </c>
      <c r="B79" s="73" t="s">
        <v>90</v>
      </c>
      <c r="C79" s="70">
        <f>C81+C83</f>
        <v>12010.1</v>
      </c>
      <c r="D79" s="70">
        <f t="shared" ref="D79:G79" si="47">D81+D83</f>
        <v>12010.1</v>
      </c>
      <c r="E79" s="70">
        <f t="shared" si="47"/>
        <v>11393.3</v>
      </c>
      <c r="F79" s="70">
        <f t="shared" ref="F79" si="48">F81+F83</f>
        <v>9334.2999999999993</v>
      </c>
      <c r="G79" s="70">
        <f t="shared" si="47"/>
        <v>11393.3</v>
      </c>
      <c r="H79" s="71">
        <f>G79/$G$219</f>
        <v>1.2999999999999999E-2</v>
      </c>
      <c r="I79" s="177">
        <f>G79/E79</f>
        <v>1</v>
      </c>
      <c r="J79" s="178">
        <f>G79-D79</f>
        <v>-616.79999999999995</v>
      </c>
      <c r="K79" s="177">
        <f>G79/D79</f>
        <v>0.94899999999999995</v>
      </c>
      <c r="L79" s="179">
        <f>G79-F79</f>
        <v>2059</v>
      </c>
    </row>
    <row r="80" spans="1:12" s="23" customFormat="1">
      <c r="A80" s="16"/>
      <c r="B80" s="124" t="s">
        <v>139</v>
      </c>
      <c r="C80" s="161"/>
      <c r="D80" s="161"/>
      <c r="E80" s="161"/>
      <c r="F80" s="161"/>
      <c r="G80" s="161"/>
      <c r="H80" s="157"/>
      <c r="I80" s="177"/>
      <c r="J80" s="178"/>
      <c r="K80" s="177"/>
      <c r="L80" s="179"/>
    </row>
    <row r="81" spans="1:12" s="36" customFormat="1" ht="40.5" hidden="1" customHeight="1">
      <c r="A81" s="14" t="s">
        <v>138</v>
      </c>
      <c r="B81" s="17" t="s">
        <v>109</v>
      </c>
      <c r="C81" s="162">
        <v>0</v>
      </c>
      <c r="D81" s="152">
        <v>0</v>
      </c>
      <c r="E81" s="152"/>
      <c r="F81" s="152">
        <v>0</v>
      </c>
      <c r="G81" s="152">
        <v>0</v>
      </c>
      <c r="H81" s="151">
        <f>G81/$G$219</f>
        <v>0</v>
      </c>
      <c r="I81" s="177" t="e">
        <f t="shared" ref="I81:I87" si="49">G81/E81</f>
        <v>#DIV/0!</v>
      </c>
      <c r="J81" s="217">
        <f>G81-D81</f>
        <v>0</v>
      </c>
      <c r="K81" s="218" t="e">
        <f>G81/D81</f>
        <v>#DIV/0!</v>
      </c>
      <c r="L81" s="231" t="e">
        <f>G81-#REF!</f>
        <v>#REF!</v>
      </c>
    </row>
    <row r="82" spans="1:12" s="36" customFormat="1" ht="13.5" hidden="1" customHeight="1">
      <c r="A82" s="14"/>
      <c r="B82" s="6" t="s">
        <v>27</v>
      </c>
      <c r="C82" s="162"/>
      <c r="D82" s="152"/>
      <c r="E82" s="152"/>
      <c r="F82" s="148"/>
      <c r="G82" s="148"/>
      <c r="H82" s="151"/>
      <c r="I82" s="177" t="e">
        <f t="shared" si="49"/>
        <v>#DIV/0!</v>
      </c>
      <c r="J82" s="217"/>
      <c r="K82" s="218"/>
      <c r="L82" s="231"/>
    </row>
    <row r="83" spans="1:12" s="36" customFormat="1" ht="40.5">
      <c r="A83" s="14" t="s">
        <v>138</v>
      </c>
      <c r="B83" s="32" t="s">
        <v>140</v>
      </c>
      <c r="C83" s="155">
        <v>12010.1</v>
      </c>
      <c r="D83" s="155">
        <v>12010.1</v>
      </c>
      <c r="E83" s="155">
        <v>11393.3</v>
      </c>
      <c r="F83" s="155">
        <v>9334.2999999999993</v>
      </c>
      <c r="G83" s="155">
        <v>11393.3</v>
      </c>
      <c r="H83" s="182">
        <f>G83/$G$219</f>
        <v>1.2999999999999999E-2</v>
      </c>
      <c r="I83" s="177">
        <f t="shared" si="49"/>
        <v>1</v>
      </c>
      <c r="J83" s="227">
        <f>G83-D83</f>
        <v>-616.79999999999995</v>
      </c>
      <c r="K83" s="232">
        <f>G83/D83</f>
        <v>0.94899999999999995</v>
      </c>
      <c r="L83" s="233">
        <f>G83-F83</f>
        <v>2059</v>
      </c>
    </row>
    <row r="84" spans="1:12" s="36" customFormat="1" ht="13.5" hidden="1" customHeight="1">
      <c r="A84" s="94"/>
      <c r="B84" s="119" t="s">
        <v>123</v>
      </c>
      <c r="C84" s="101"/>
      <c r="D84" s="162"/>
      <c r="E84" s="162"/>
      <c r="F84" s="155"/>
      <c r="G84" s="155"/>
      <c r="H84" s="167"/>
      <c r="I84" s="177" t="e">
        <f t="shared" si="49"/>
        <v>#DIV/0!</v>
      </c>
      <c r="J84" s="217"/>
      <c r="K84" s="218"/>
      <c r="L84" s="231"/>
    </row>
    <row r="85" spans="1:12" s="36" customFormat="1" ht="13.5" hidden="1" customHeight="1">
      <c r="A85" s="94"/>
      <c r="B85" s="103" t="s">
        <v>108</v>
      </c>
      <c r="C85" s="101"/>
      <c r="D85" s="162"/>
      <c r="E85" s="162"/>
      <c r="F85" s="155">
        <v>0</v>
      </c>
      <c r="G85" s="155">
        <v>0</v>
      </c>
      <c r="H85" s="167">
        <f>G85/$G$219</f>
        <v>0</v>
      </c>
      <c r="I85" s="177" t="e">
        <f t="shared" si="49"/>
        <v>#DIV/0!</v>
      </c>
      <c r="J85" s="217">
        <f>G85-D85</f>
        <v>0</v>
      </c>
      <c r="K85" s="218" t="e">
        <f>G85/D85</f>
        <v>#DIV/0!</v>
      </c>
      <c r="L85" s="231" t="e">
        <f>G85-#REF!</f>
        <v>#REF!</v>
      </c>
    </row>
    <row r="86" spans="1:12" s="23" customFormat="1">
      <c r="A86" s="69" t="s">
        <v>24</v>
      </c>
      <c r="B86" s="183" t="s">
        <v>26</v>
      </c>
      <c r="C86" s="184">
        <f>C87+C91+C110</f>
        <v>261797.2</v>
      </c>
      <c r="D86" s="184">
        <f>D87+D91+D110</f>
        <v>768513.2</v>
      </c>
      <c r="E86" s="184">
        <f>E87+E91+E110</f>
        <v>428854.8</v>
      </c>
      <c r="F86" s="184">
        <f>F87+F91+F110</f>
        <v>624339.69999999995</v>
      </c>
      <c r="G86" s="184">
        <f>G87+G91+G110</f>
        <v>428854.8</v>
      </c>
      <c r="H86" s="71">
        <f>G86/$G$219</f>
        <v>0.504</v>
      </c>
      <c r="I86" s="177">
        <f t="shared" si="49"/>
        <v>1</v>
      </c>
      <c r="J86" s="178">
        <f>G86-D86</f>
        <v>-339658.4</v>
      </c>
      <c r="K86" s="177">
        <f>G86/D86</f>
        <v>0.55800000000000005</v>
      </c>
      <c r="L86" s="179">
        <f>G86-F86</f>
        <v>-195484.9</v>
      </c>
    </row>
    <row r="87" spans="1:12">
      <c r="A87" s="3" t="s">
        <v>47</v>
      </c>
      <c r="B87" s="7" t="s">
        <v>91</v>
      </c>
      <c r="C87" s="5">
        <f>C89</f>
        <v>25000</v>
      </c>
      <c r="D87" s="105">
        <f>D89</f>
        <v>25000</v>
      </c>
      <c r="E87" s="105">
        <f>E89</f>
        <v>20444.099999999999</v>
      </c>
      <c r="F87" s="105">
        <f t="shared" ref="F87:G87" si="50">F89</f>
        <v>20164.400000000001</v>
      </c>
      <c r="G87" s="105">
        <f t="shared" si="50"/>
        <v>20444.099999999999</v>
      </c>
      <c r="H87" s="167">
        <f>G87/$G$219</f>
        <v>2.4E-2</v>
      </c>
      <c r="I87" s="177">
        <f t="shared" si="49"/>
        <v>1</v>
      </c>
      <c r="J87" s="217">
        <f>G87-D87</f>
        <v>-4555.8999999999996</v>
      </c>
      <c r="K87" s="218">
        <f>G87/D87</f>
        <v>0.81799999999999995</v>
      </c>
      <c r="L87" s="231">
        <f>G87-F87</f>
        <v>279.7</v>
      </c>
    </row>
    <row r="88" spans="1:12">
      <c r="A88" s="3"/>
      <c r="B88" s="6" t="s">
        <v>27</v>
      </c>
      <c r="C88" s="5"/>
      <c r="D88" s="5"/>
      <c r="E88" s="5"/>
      <c r="F88" s="173"/>
      <c r="G88" s="173"/>
      <c r="H88" s="167"/>
      <c r="I88" s="177"/>
      <c r="J88" s="217"/>
      <c r="K88" s="218"/>
      <c r="L88" s="231"/>
    </row>
    <row r="89" spans="1:12" ht="54">
      <c r="A89" s="3"/>
      <c r="B89" s="7" t="s">
        <v>112</v>
      </c>
      <c r="C89" s="5">
        <v>25000</v>
      </c>
      <c r="D89" s="5">
        <v>25000</v>
      </c>
      <c r="E89" s="5">
        <v>20444.099999999999</v>
      </c>
      <c r="F89" s="5">
        <v>20164.400000000001</v>
      </c>
      <c r="G89" s="5">
        <v>20444.099999999999</v>
      </c>
      <c r="H89" s="167">
        <f>G89/$G$219</f>
        <v>2.4E-2</v>
      </c>
      <c r="I89" s="177">
        <f>G89/E89</f>
        <v>1</v>
      </c>
      <c r="J89" s="217">
        <f>G89-D89</f>
        <v>-4555.8999999999996</v>
      </c>
      <c r="K89" s="218">
        <f>G89/D89</f>
        <v>0.81799999999999995</v>
      </c>
      <c r="L89" s="231">
        <f>G89-F89</f>
        <v>279.7</v>
      </c>
    </row>
    <row r="90" spans="1:12" s="36" customFormat="1" ht="13.5" hidden="1" customHeight="1">
      <c r="A90" s="14"/>
      <c r="B90" s="32" t="s">
        <v>135</v>
      </c>
      <c r="C90" s="155"/>
      <c r="D90" s="155"/>
      <c r="E90" s="155"/>
      <c r="F90" s="155"/>
      <c r="G90" s="155"/>
      <c r="H90" s="182">
        <f>G90/$G$219</f>
        <v>0</v>
      </c>
      <c r="I90" s="177" t="e">
        <f>G90/E90</f>
        <v>#DIV/0!</v>
      </c>
      <c r="J90" s="227">
        <f>G90-D90</f>
        <v>0</v>
      </c>
      <c r="K90" s="232" t="e">
        <f>G90/D90</f>
        <v>#DIV/0!</v>
      </c>
      <c r="L90" s="231">
        <f t="shared" ref="L90:L114" si="51">G90-F90</f>
        <v>0</v>
      </c>
    </row>
    <row r="91" spans="1:12" s="1" customFormat="1">
      <c r="A91" s="3" t="s">
        <v>92</v>
      </c>
      <c r="B91" s="7" t="s">
        <v>93</v>
      </c>
      <c r="C91" s="5">
        <f>C93+C107</f>
        <v>229389.3</v>
      </c>
      <c r="D91" s="5">
        <f>D93+D107</f>
        <v>736602.5</v>
      </c>
      <c r="E91" s="5">
        <f>E93+E107</f>
        <v>406131.1</v>
      </c>
      <c r="F91" s="5">
        <f>F93+F107</f>
        <v>599828</v>
      </c>
      <c r="G91" s="5">
        <f>G93+G107</f>
        <v>406131.1</v>
      </c>
      <c r="H91" s="167">
        <f>G91/$G$219</f>
        <v>0.47699999999999998</v>
      </c>
      <c r="I91" s="177">
        <f>G91/E91</f>
        <v>1</v>
      </c>
      <c r="J91" s="217">
        <f>G91-D91</f>
        <v>-330471.40000000002</v>
      </c>
      <c r="K91" s="218">
        <f>G91/D91</f>
        <v>0.55100000000000005</v>
      </c>
      <c r="L91" s="231">
        <f t="shared" si="51"/>
        <v>-193696.9</v>
      </c>
    </row>
    <row r="92" spans="1:12" s="1" customFormat="1">
      <c r="A92" s="3"/>
      <c r="B92" s="6" t="s">
        <v>183</v>
      </c>
      <c r="C92" s="5"/>
      <c r="D92" s="5"/>
      <c r="E92" s="174"/>
      <c r="F92" s="174"/>
      <c r="G92" s="174"/>
      <c r="H92" s="167"/>
      <c r="I92" s="177"/>
      <c r="J92" s="217"/>
      <c r="K92" s="218"/>
      <c r="L92" s="231">
        <f t="shared" si="51"/>
        <v>0</v>
      </c>
    </row>
    <row r="93" spans="1:12" s="1" customFormat="1" ht="27">
      <c r="A93" s="3"/>
      <c r="B93" s="7" t="s">
        <v>195</v>
      </c>
      <c r="C93" s="5">
        <f>183482.7+23304.3</f>
        <v>206787</v>
      </c>
      <c r="D93" s="5">
        <v>326137.8</v>
      </c>
      <c r="E93" s="5">
        <v>160744.20000000001</v>
      </c>
      <c r="F93" s="5">
        <v>171158.9</v>
      </c>
      <c r="G93" s="5">
        <v>160744.20000000001</v>
      </c>
      <c r="H93" s="167">
        <f>G93/$G$219</f>
        <v>0.189</v>
      </c>
      <c r="I93" s="177">
        <f>G93/E93</f>
        <v>1</v>
      </c>
      <c r="J93" s="217">
        <f>G93-D93</f>
        <v>-165393.60000000001</v>
      </c>
      <c r="K93" s="218">
        <f>G93/D93</f>
        <v>0.49299999999999999</v>
      </c>
      <c r="L93" s="231">
        <f t="shared" si="51"/>
        <v>-10414.700000000001</v>
      </c>
    </row>
    <row r="94" spans="1:12" s="1" customFormat="1" ht="67.5" hidden="1" customHeight="1">
      <c r="A94" s="3"/>
      <c r="B94" s="7" t="s">
        <v>120</v>
      </c>
      <c r="C94" s="5"/>
      <c r="D94" s="5"/>
      <c r="E94" s="5">
        <v>0</v>
      </c>
      <c r="F94" s="5">
        <v>0</v>
      </c>
      <c r="G94" s="5">
        <v>0</v>
      </c>
      <c r="H94" s="167">
        <f>G94/$G$219</f>
        <v>0</v>
      </c>
      <c r="I94" s="177" t="e">
        <f>G94/E94</f>
        <v>#DIV/0!</v>
      </c>
      <c r="J94" s="217">
        <f>G94-D94</f>
        <v>0</v>
      </c>
      <c r="K94" s="218" t="e">
        <f>G94/D94</f>
        <v>#DIV/0!</v>
      </c>
      <c r="L94" s="231">
        <f t="shared" si="51"/>
        <v>0</v>
      </c>
    </row>
    <row r="95" spans="1:12" s="1" customFormat="1" ht="54" hidden="1" customHeight="1">
      <c r="A95" s="3"/>
      <c r="B95" s="7" t="s">
        <v>121</v>
      </c>
      <c r="C95" s="5"/>
      <c r="D95" s="5"/>
      <c r="E95" s="5">
        <v>0</v>
      </c>
      <c r="F95" s="5">
        <v>0</v>
      </c>
      <c r="G95" s="5">
        <v>0</v>
      </c>
      <c r="H95" s="167">
        <f>G95/$G$219</f>
        <v>0</v>
      </c>
      <c r="I95" s="177" t="e">
        <f>G95/E95</f>
        <v>#DIV/0!</v>
      </c>
      <c r="J95" s="217">
        <f>G95-D95</f>
        <v>0</v>
      </c>
      <c r="K95" s="218" t="e">
        <f>G95/D95</f>
        <v>#DIV/0!</v>
      </c>
      <c r="L95" s="231">
        <f t="shared" si="51"/>
        <v>0</v>
      </c>
    </row>
    <row r="96" spans="1:12" s="1" customFormat="1" ht="40.5" hidden="1" customHeight="1">
      <c r="A96" s="3"/>
      <c r="B96" s="7" t="s">
        <v>94</v>
      </c>
      <c r="C96" s="5"/>
      <c r="D96" s="5"/>
      <c r="E96" s="5">
        <v>0</v>
      </c>
      <c r="F96" s="5">
        <v>0</v>
      </c>
      <c r="G96" s="5">
        <v>0</v>
      </c>
      <c r="H96" s="167">
        <f>G96/$G$219</f>
        <v>0</v>
      </c>
      <c r="I96" s="177" t="e">
        <f>G96/E96</f>
        <v>#DIV/0!</v>
      </c>
      <c r="J96" s="217">
        <f>G96-D96</f>
        <v>0</v>
      </c>
      <c r="K96" s="218" t="e">
        <f>G96/D96</f>
        <v>#DIV/0!</v>
      </c>
      <c r="L96" s="231">
        <f t="shared" si="51"/>
        <v>0</v>
      </c>
    </row>
    <row r="97" spans="1:12" s="36" customFormat="1" ht="13.5" hidden="1" customHeight="1">
      <c r="A97" s="14"/>
      <c r="B97" s="32" t="s">
        <v>135</v>
      </c>
      <c r="C97" s="155"/>
      <c r="D97" s="155"/>
      <c r="E97" s="155">
        <v>0</v>
      </c>
      <c r="F97" s="155">
        <v>0</v>
      </c>
      <c r="G97" s="155">
        <v>0</v>
      </c>
      <c r="H97" s="167">
        <f>G97/$G$219</f>
        <v>0</v>
      </c>
      <c r="I97" s="177" t="e">
        <f>G97/E97</f>
        <v>#DIV/0!</v>
      </c>
      <c r="J97" s="217">
        <f>G97-D97</f>
        <v>0</v>
      </c>
      <c r="K97" s="218" t="e">
        <f>G97/D97</f>
        <v>#DIV/0!</v>
      </c>
      <c r="L97" s="231">
        <f t="shared" si="51"/>
        <v>0</v>
      </c>
    </row>
    <row r="98" spans="1:12" s="36" customFormat="1" ht="13.5" customHeight="1">
      <c r="A98" s="14"/>
      <c r="B98" s="138" t="s">
        <v>183</v>
      </c>
      <c r="C98" s="155"/>
      <c r="D98" s="155"/>
      <c r="E98" s="155"/>
      <c r="F98" s="155"/>
      <c r="G98" s="155"/>
      <c r="H98" s="167"/>
      <c r="I98" s="177"/>
      <c r="J98" s="217"/>
      <c r="K98" s="218"/>
      <c r="L98" s="231">
        <f t="shared" si="51"/>
        <v>0</v>
      </c>
    </row>
    <row r="99" spans="1:12" s="36" customFormat="1" ht="71.25" customHeight="1">
      <c r="A99" s="14" t="s">
        <v>224</v>
      </c>
      <c r="B99" s="139" t="s">
        <v>188</v>
      </c>
      <c r="C99" s="155">
        <f>C100+C101</f>
        <v>23304.3</v>
      </c>
      <c r="D99" s="155">
        <f>D100+D101</f>
        <v>99071</v>
      </c>
      <c r="E99" s="163">
        <f t="shared" ref="E99" si="52">E100+E101</f>
        <v>30418.3</v>
      </c>
      <c r="F99" s="163">
        <f t="shared" ref="F99:G99" si="53">F100+F101</f>
        <v>150014.79999999999</v>
      </c>
      <c r="G99" s="163">
        <f t="shared" si="53"/>
        <v>30418.3</v>
      </c>
      <c r="H99" s="167">
        <f>G99/$G$219</f>
        <v>3.5999999999999997E-2</v>
      </c>
      <c r="I99" s="177">
        <f>G99/E99</f>
        <v>1</v>
      </c>
      <c r="J99" s="217">
        <f>G99-D99</f>
        <v>-68652.7</v>
      </c>
      <c r="K99" s="218">
        <f>G99/D99</f>
        <v>0.307</v>
      </c>
      <c r="L99" s="231">
        <f t="shared" si="51"/>
        <v>-119596.5</v>
      </c>
    </row>
    <row r="100" spans="1:12" s="36" customFormat="1" ht="42" customHeight="1">
      <c r="A100" s="15">
        <v>611</v>
      </c>
      <c r="B100" s="7" t="s">
        <v>97</v>
      </c>
      <c r="C100" s="155">
        <v>0</v>
      </c>
      <c r="D100" s="155">
        <v>46429.7</v>
      </c>
      <c r="E100" s="155">
        <v>0</v>
      </c>
      <c r="F100" s="155">
        <v>133764.9</v>
      </c>
      <c r="G100" s="155">
        <v>0</v>
      </c>
      <c r="H100" s="167">
        <f>G100/$G$219</f>
        <v>0</v>
      </c>
      <c r="I100" s="177">
        <v>0</v>
      </c>
      <c r="J100" s="217">
        <f>G100-D100</f>
        <v>-46429.7</v>
      </c>
      <c r="K100" s="218">
        <v>0</v>
      </c>
      <c r="L100" s="231">
        <f t="shared" si="51"/>
        <v>-133764.9</v>
      </c>
    </row>
    <row r="101" spans="1:12" s="36" customFormat="1" ht="13.5" customHeight="1">
      <c r="A101" s="15">
        <v>612</v>
      </c>
      <c r="B101" s="7" t="s">
        <v>98</v>
      </c>
      <c r="C101" s="155">
        <v>23304.3</v>
      </c>
      <c r="D101" s="155">
        <v>52641.3</v>
      </c>
      <c r="E101" s="155">
        <v>30418.3</v>
      </c>
      <c r="F101" s="155">
        <v>16249.9</v>
      </c>
      <c r="G101" s="155">
        <v>30418.3</v>
      </c>
      <c r="H101" s="167">
        <f>G101/$G$219</f>
        <v>3.5999999999999997E-2</v>
      </c>
      <c r="I101" s="177">
        <f>G101/E101</f>
        <v>1</v>
      </c>
      <c r="J101" s="217">
        <f>G101-D101</f>
        <v>-22223</v>
      </c>
      <c r="K101" s="218">
        <f t="shared" ref="K101" si="54">G101/D101</f>
        <v>0.57799999999999996</v>
      </c>
      <c r="L101" s="231">
        <f t="shared" si="51"/>
        <v>14168.4</v>
      </c>
    </row>
    <row r="102" spans="1:12" s="36" customFormat="1" ht="13.5" customHeight="1">
      <c r="A102" s="94"/>
      <c r="B102" s="95" t="s">
        <v>199</v>
      </c>
      <c r="C102" s="102"/>
      <c r="D102" s="102"/>
      <c r="E102" s="102"/>
      <c r="F102" s="102"/>
      <c r="G102" s="102"/>
      <c r="H102" s="168"/>
      <c r="I102" s="177"/>
      <c r="J102" s="217"/>
      <c r="K102" s="218"/>
      <c r="L102" s="231">
        <f t="shared" si="51"/>
        <v>0</v>
      </c>
    </row>
    <row r="103" spans="1:12" s="36" customFormat="1" ht="13.5" customHeight="1">
      <c r="A103" s="88"/>
      <c r="B103" s="89" t="s">
        <v>99</v>
      </c>
      <c r="C103" s="102">
        <v>23304.3</v>
      </c>
      <c r="D103" s="102">
        <v>60875.5</v>
      </c>
      <c r="E103" s="102">
        <v>20251.7</v>
      </c>
      <c r="F103" s="102">
        <v>79582.2</v>
      </c>
      <c r="G103" s="102">
        <v>20251.7</v>
      </c>
      <c r="H103" s="168">
        <f>G103/$G$219</f>
        <v>2.4E-2</v>
      </c>
      <c r="I103" s="177">
        <f>G103/E103</f>
        <v>1</v>
      </c>
      <c r="J103" s="217">
        <f>G103-D103</f>
        <v>-40623.800000000003</v>
      </c>
      <c r="K103" s="218">
        <f>G103/D103</f>
        <v>0.33300000000000002</v>
      </c>
      <c r="L103" s="231">
        <f t="shared" si="51"/>
        <v>-59330.5</v>
      </c>
    </row>
    <row r="104" spans="1:12" s="36" customFormat="1" ht="13.5" customHeight="1">
      <c r="A104" s="88"/>
      <c r="B104" s="89" t="s">
        <v>102</v>
      </c>
      <c r="C104" s="102">
        <v>0</v>
      </c>
      <c r="D104" s="102">
        <v>1687.4</v>
      </c>
      <c r="E104" s="102">
        <v>263.2</v>
      </c>
      <c r="F104" s="102">
        <v>2764.8</v>
      </c>
      <c r="G104" s="102">
        <v>263.2</v>
      </c>
      <c r="H104" s="168">
        <f>G104/$G$219</f>
        <v>0</v>
      </c>
      <c r="I104" s="177">
        <f>G104/E104</f>
        <v>1</v>
      </c>
      <c r="J104" s="217">
        <f>G104-D104</f>
        <v>-1424.2</v>
      </c>
      <c r="K104" s="218">
        <f>G104/D104</f>
        <v>0.156</v>
      </c>
      <c r="L104" s="231">
        <f t="shared" si="51"/>
        <v>-2501.6</v>
      </c>
    </row>
    <row r="105" spans="1:12" s="36" customFormat="1" ht="13.5" customHeight="1">
      <c r="A105" s="88"/>
      <c r="B105" s="89" t="s">
        <v>163</v>
      </c>
      <c r="C105" s="102">
        <v>0</v>
      </c>
      <c r="D105" s="102">
        <v>298.7</v>
      </c>
      <c r="E105" s="102">
        <v>71.5</v>
      </c>
      <c r="F105" s="102">
        <v>0</v>
      </c>
      <c r="G105" s="102">
        <v>71.5</v>
      </c>
      <c r="H105" s="168">
        <f>G105/$G$219</f>
        <v>0</v>
      </c>
      <c r="I105" s="177">
        <v>0</v>
      </c>
      <c r="J105" s="217">
        <f>G105-D105</f>
        <v>-227.2</v>
      </c>
      <c r="K105" s="218">
        <v>0</v>
      </c>
      <c r="L105" s="231">
        <f t="shared" si="51"/>
        <v>71.5</v>
      </c>
    </row>
    <row r="106" spans="1:12" s="36" customFormat="1" ht="13.5" customHeight="1">
      <c r="A106" s="88"/>
      <c r="B106" s="89" t="s">
        <v>164</v>
      </c>
      <c r="C106" s="102">
        <v>0</v>
      </c>
      <c r="D106" s="102">
        <v>36209.4</v>
      </c>
      <c r="E106" s="102">
        <v>9831.9</v>
      </c>
      <c r="F106" s="102">
        <v>67667.7</v>
      </c>
      <c r="G106" s="102">
        <v>9831.9</v>
      </c>
      <c r="H106" s="168">
        <f>G106/$G$219</f>
        <v>1.2E-2</v>
      </c>
      <c r="I106" s="177">
        <f>G106/E106</f>
        <v>1</v>
      </c>
      <c r="J106" s="217">
        <f>G106-D106</f>
        <v>-26377.5</v>
      </c>
      <c r="K106" s="218">
        <f>G106/D106</f>
        <v>0.27200000000000002</v>
      </c>
      <c r="L106" s="231">
        <f t="shared" si="51"/>
        <v>-57835.8</v>
      </c>
    </row>
    <row r="107" spans="1:12" s="1" customFormat="1" ht="27">
      <c r="A107" s="125" t="s">
        <v>265</v>
      </c>
      <c r="B107" s="7" t="s">
        <v>263</v>
      </c>
      <c r="C107" s="5">
        <v>22602.3</v>
      </c>
      <c r="D107" s="5">
        <v>410464.7</v>
      </c>
      <c r="E107" s="5">
        <v>245386.9</v>
      </c>
      <c r="F107" s="5">
        <f>4319.9+424349.2</f>
        <v>428669.1</v>
      </c>
      <c r="G107" s="5">
        <v>245386.9</v>
      </c>
      <c r="H107" s="167">
        <f>G107/$G$219</f>
        <v>0.28799999999999998</v>
      </c>
      <c r="I107" s="177">
        <f t="shared" ref="I107:I116" si="55">G107/E107</f>
        <v>1</v>
      </c>
      <c r="J107" s="217">
        <f>G107-D107</f>
        <v>-165077.79999999999</v>
      </c>
      <c r="K107" s="218">
        <f>G107/D107</f>
        <v>0.59799999999999998</v>
      </c>
      <c r="L107" s="231">
        <f t="shared" si="51"/>
        <v>-183282.2</v>
      </c>
    </row>
    <row r="108" spans="1:12" s="1" customFormat="1" ht="15" hidden="1" customHeight="1">
      <c r="A108" s="125"/>
      <c r="B108" s="7" t="s">
        <v>183</v>
      </c>
      <c r="C108" s="5"/>
      <c r="D108" s="5"/>
      <c r="E108" s="5"/>
      <c r="F108" s="5"/>
      <c r="G108" s="5"/>
      <c r="H108" s="167"/>
      <c r="I108" s="177">
        <v>0</v>
      </c>
      <c r="J108" s="217"/>
      <c r="K108" s="218"/>
      <c r="L108" s="231">
        <f t="shared" si="51"/>
        <v>0</v>
      </c>
    </row>
    <row r="109" spans="1:12" s="1" customFormat="1" ht="40.5" hidden="1">
      <c r="A109" s="125" t="s">
        <v>261</v>
      </c>
      <c r="B109" s="197" t="s">
        <v>262</v>
      </c>
      <c r="C109" s="5">
        <v>0</v>
      </c>
      <c r="D109" s="147">
        <v>372480</v>
      </c>
      <c r="E109" s="5">
        <v>54256</v>
      </c>
      <c r="F109" s="5">
        <v>404139.1</v>
      </c>
      <c r="G109" s="5">
        <v>54256</v>
      </c>
      <c r="H109" s="167">
        <f>G109/$G$219</f>
        <v>6.4000000000000001E-2</v>
      </c>
      <c r="I109" s="177">
        <f t="shared" si="55"/>
        <v>1</v>
      </c>
      <c r="J109" s="217">
        <f>G109-D109</f>
        <v>-318224</v>
      </c>
      <c r="K109" s="218">
        <f t="shared" ref="K109" si="56">G109/D109</f>
        <v>0.14599999999999999</v>
      </c>
      <c r="L109" s="231">
        <f t="shared" si="51"/>
        <v>-349883.1</v>
      </c>
    </row>
    <row r="110" spans="1:12" s="1" customFormat="1">
      <c r="A110" s="3" t="s">
        <v>141</v>
      </c>
      <c r="B110" s="7" t="s">
        <v>129</v>
      </c>
      <c r="C110" s="5">
        <f>C112+C114</f>
        <v>7407.9</v>
      </c>
      <c r="D110" s="5">
        <f>D112+D114</f>
        <v>6910.7</v>
      </c>
      <c r="E110" s="5">
        <f t="shared" ref="E110" si="57">E112+E114</f>
        <v>2279.6</v>
      </c>
      <c r="F110" s="5">
        <f t="shared" ref="F110:G110" si="58">F112+F114</f>
        <v>4347.3</v>
      </c>
      <c r="G110" s="5">
        <f t="shared" si="58"/>
        <v>2279.6</v>
      </c>
      <c r="H110" s="167">
        <f>G110/$G$219</f>
        <v>3.0000000000000001E-3</v>
      </c>
      <c r="I110" s="177">
        <f t="shared" si="55"/>
        <v>1</v>
      </c>
      <c r="J110" s="217">
        <f>G110-D110</f>
        <v>-4631.1000000000004</v>
      </c>
      <c r="K110" s="218">
        <f>G110/D110</f>
        <v>0.33</v>
      </c>
      <c r="L110" s="231">
        <f t="shared" si="51"/>
        <v>-2067.6999999999998</v>
      </c>
    </row>
    <row r="111" spans="1:12" s="1" customFormat="1">
      <c r="A111" s="3"/>
      <c r="B111" s="6" t="s">
        <v>27</v>
      </c>
      <c r="C111" s="5"/>
      <c r="D111" s="5"/>
      <c r="E111" s="5"/>
      <c r="F111" s="5"/>
      <c r="G111" s="5"/>
      <c r="H111" s="167"/>
      <c r="I111" s="177">
        <v>0</v>
      </c>
      <c r="J111" s="217"/>
      <c r="K111" s="218"/>
      <c r="L111" s="231">
        <f t="shared" si="51"/>
        <v>0</v>
      </c>
    </row>
    <row r="112" spans="1:12" s="36" customFormat="1" ht="40.5">
      <c r="A112" s="14" t="s">
        <v>225</v>
      </c>
      <c r="B112" s="32" t="s">
        <v>142</v>
      </c>
      <c r="C112" s="155">
        <v>2407.9</v>
      </c>
      <c r="D112" s="155">
        <v>2407.9</v>
      </c>
      <c r="E112" s="155">
        <v>1370</v>
      </c>
      <c r="F112" s="155">
        <v>1595.5</v>
      </c>
      <c r="G112" s="155">
        <v>1370</v>
      </c>
      <c r="H112" s="182">
        <f>G112/$G$219</f>
        <v>2E-3</v>
      </c>
      <c r="I112" s="177">
        <f t="shared" si="55"/>
        <v>1</v>
      </c>
      <c r="J112" s="227">
        <f>G112-D112</f>
        <v>-1037.9000000000001</v>
      </c>
      <c r="K112" s="232">
        <f>G112/D112</f>
        <v>0.56899999999999995</v>
      </c>
      <c r="L112" s="231">
        <f t="shared" si="51"/>
        <v>-225.5</v>
      </c>
    </row>
    <row r="113" spans="1:12" s="36" customFormat="1" ht="54" hidden="1" customHeight="1">
      <c r="A113" s="14"/>
      <c r="B113" s="32" t="s">
        <v>142</v>
      </c>
      <c r="C113" s="155">
        <v>0</v>
      </c>
      <c r="D113" s="155">
        <v>0</v>
      </c>
      <c r="E113" s="155">
        <v>0</v>
      </c>
      <c r="F113" s="155">
        <v>0</v>
      </c>
      <c r="G113" s="155">
        <v>0</v>
      </c>
      <c r="H113" s="182">
        <f>G113/$G$219</f>
        <v>0</v>
      </c>
      <c r="I113" s="177" t="e">
        <f t="shared" si="55"/>
        <v>#DIV/0!</v>
      </c>
      <c r="J113" s="227">
        <f>G113-D113</f>
        <v>0</v>
      </c>
      <c r="K113" s="232" t="e">
        <f>G113/D113</f>
        <v>#DIV/0!</v>
      </c>
      <c r="L113" s="231">
        <f t="shared" si="51"/>
        <v>0</v>
      </c>
    </row>
    <row r="114" spans="1:12" s="36" customFormat="1" ht="23.25" customHeight="1">
      <c r="A114" s="14" t="s">
        <v>249</v>
      </c>
      <c r="B114" s="32" t="s">
        <v>192</v>
      </c>
      <c r="C114" s="155">
        <v>5000</v>
      </c>
      <c r="D114" s="155">
        <f>4500+2.8</f>
        <v>4502.8</v>
      </c>
      <c r="E114" s="155">
        <v>909.6</v>
      </c>
      <c r="F114" s="155">
        <v>2751.8</v>
      </c>
      <c r="G114" s="155">
        <v>909.6</v>
      </c>
      <c r="H114" s="182">
        <f>G114/$G$219</f>
        <v>1E-3</v>
      </c>
      <c r="I114" s="177">
        <f t="shared" si="55"/>
        <v>1</v>
      </c>
      <c r="J114" s="227">
        <f>G114-D114</f>
        <v>-3593.2</v>
      </c>
      <c r="K114" s="232">
        <f>G114/D114</f>
        <v>0.20200000000000001</v>
      </c>
      <c r="L114" s="231">
        <f t="shared" si="51"/>
        <v>-1842.2</v>
      </c>
    </row>
    <row r="115" spans="1:12" s="1" customFormat="1">
      <c r="A115" s="3"/>
      <c r="B115" s="250" t="s">
        <v>124</v>
      </c>
      <c r="C115" s="5"/>
      <c r="D115" s="5"/>
      <c r="E115" s="5"/>
      <c r="F115" s="5"/>
      <c r="G115" s="5"/>
      <c r="H115" s="167"/>
      <c r="I115" s="177">
        <v>0</v>
      </c>
      <c r="J115" s="217"/>
      <c r="K115" s="218"/>
      <c r="L115" s="231"/>
    </row>
    <row r="116" spans="1:12" s="1" customFormat="1">
      <c r="A116" s="3"/>
      <c r="B116" s="17" t="s">
        <v>143</v>
      </c>
      <c r="C116" s="5">
        <v>261797.2</v>
      </c>
      <c r="D116" s="5">
        <v>767634</v>
      </c>
      <c r="E116" s="5">
        <v>428552</v>
      </c>
      <c r="F116" s="5">
        <v>155040.4</v>
      </c>
      <c r="G116" s="5">
        <v>428552</v>
      </c>
      <c r="H116" s="167">
        <f>G116/$G$219</f>
        <v>0.504</v>
      </c>
      <c r="I116" s="177">
        <f t="shared" si="55"/>
        <v>1</v>
      </c>
      <c r="J116" s="217">
        <f>G116-D116</f>
        <v>-339082</v>
      </c>
      <c r="K116" s="218">
        <f>G116/D116</f>
        <v>0.55800000000000005</v>
      </c>
      <c r="L116" s="231">
        <f>G116-F116</f>
        <v>273511.59999999998</v>
      </c>
    </row>
    <row r="117" spans="1:12" s="23" customFormat="1">
      <c r="A117" s="69" t="s">
        <v>22</v>
      </c>
      <c r="B117" s="74" t="s">
        <v>8</v>
      </c>
      <c r="C117" s="72">
        <f>C118+C139+C158+C136</f>
        <v>143433.4</v>
      </c>
      <c r="D117" s="72">
        <f>D118+D139+D158+D136</f>
        <v>249462.1</v>
      </c>
      <c r="E117" s="72">
        <f>E118+E139+E158</f>
        <v>152635.29999999999</v>
      </c>
      <c r="F117" s="72">
        <f>F118+F139+F158</f>
        <v>144243.1</v>
      </c>
      <c r="G117" s="72">
        <f>G118+G139+G158</f>
        <v>152635.29999999999</v>
      </c>
      <c r="H117" s="71">
        <f>G117/$G$219</f>
        <v>0.17899999999999999</v>
      </c>
      <c r="I117" s="177">
        <f>G117/E117</f>
        <v>1</v>
      </c>
      <c r="J117" s="178">
        <f>G117-D117</f>
        <v>-96826.8</v>
      </c>
      <c r="K117" s="177">
        <f>G117/D117</f>
        <v>0.61199999999999999</v>
      </c>
      <c r="L117" s="179">
        <f>G117-F117</f>
        <v>8392.2000000000007</v>
      </c>
    </row>
    <row r="118" spans="1:12">
      <c r="A118" s="14" t="s">
        <v>55</v>
      </c>
      <c r="B118" s="31" t="s">
        <v>68</v>
      </c>
      <c r="C118" s="155">
        <f>C120+C123+C122+C124+C125+C134</f>
        <v>10137.9</v>
      </c>
      <c r="D118" s="155">
        <f>D120+D123+D122+D124+D125+D134</f>
        <v>13190</v>
      </c>
      <c r="E118" s="155">
        <f>E120+E123+E122+E124+E125+E134</f>
        <v>6809.9</v>
      </c>
      <c r="F118" s="155">
        <f t="shared" ref="F118:G118" si="59">F120+F123+F122+F124+F125+F134</f>
        <v>13815.6</v>
      </c>
      <c r="G118" s="155">
        <f t="shared" si="59"/>
        <v>6809.9</v>
      </c>
      <c r="H118" s="167">
        <f>G118/$G$219</f>
        <v>8.0000000000000002E-3</v>
      </c>
      <c r="I118" s="177">
        <f>G118/E118</f>
        <v>1</v>
      </c>
      <c r="J118" s="217">
        <f>G118-D118</f>
        <v>-6380.1</v>
      </c>
      <c r="K118" s="218">
        <f>G118/D118</f>
        <v>0.51600000000000001</v>
      </c>
      <c r="L118" s="231">
        <f>G118-F118</f>
        <v>-7005.7</v>
      </c>
    </row>
    <row r="119" spans="1:12">
      <c r="A119" s="14"/>
      <c r="B119" s="31" t="s">
        <v>183</v>
      </c>
      <c r="C119" s="156"/>
      <c r="D119" s="156"/>
      <c r="E119" s="156"/>
      <c r="F119" s="156"/>
      <c r="G119" s="156"/>
      <c r="H119" s="175"/>
      <c r="I119" s="177"/>
      <c r="J119" s="217"/>
      <c r="K119" s="218"/>
      <c r="L119" s="231">
        <f t="shared" ref="L119:L150" si="60">G119-F119</f>
        <v>0</v>
      </c>
    </row>
    <row r="120" spans="1:12" ht="40.5">
      <c r="A120" s="190" t="s">
        <v>289</v>
      </c>
      <c r="B120" s="32" t="s">
        <v>70</v>
      </c>
      <c r="C120" s="155">
        <v>476.3</v>
      </c>
      <c r="D120" s="155">
        <v>476.3</v>
      </c>
      <c r="E120" s="155">
        <v>224.4</v>
      </c>
      <c r="F120" s="155">
        <f>269.5+122.5</f>
        <v>392</v>
      </c>
      <c r="G120" s="155">
        <v>224.4</v>
      </c>
      <c r="H120" s="167">
        <f t="shared" ref="H120:H125" si="61">G120/$G$219</f>
        <v>0</v>
      </c>
      <c r="I120" s="177">
        <f t="shared" ref="I120:I121" si="62">G120/E120</f>
        <v>1</v>
      </c>
      <c r="J120" s="217">
        <f t="shared" ref="J120:J125" si="63">G120-D120</f>
        <v>-251.9</v>
      </c>
      <c r="K120" s="218">
        <f t="shared" ref="K120:K150" si="64">G120/D120</f>
        <v>0.47099999999999997</v>
      </c>
      <c r="L120" s="231">
        <f t="shared" si="60"/>
        <v>-167.6</v>
      </c>
    </row>
    <row r="121" spans="1:12" ht="27" hidden="1">
      <c r="A121" s="14" t="s">
        <v>226</v>
      </c>
      <c r="B121" s="32" t="s">
        <v>197</v>
      </c>
      <c r="C121" s="155">
        <v>0</v>
      </c>
      <c r="D121" s="155">
        <v>0</v>
      </c>
      <c r="E121" s="155">
        <v>0</v>
      </c>
      <c r="F121" s="155">
        <v>0</v>
      </c>
      <c r="G121" s="155">
        <v>0</v>
      </c>
      <c r="H121" s="167">
        <f t="shared" si="61"/>
        <v>0</v>
      </c>
      <c r="I121" s="177" t="e">
        <f t="shared" si="62"/>
        <v>#DIV/0!</v>
      </c>
      <c r="J121" s="217">
        <f t="shared" si="63"/>
        <v>0</v>
      </c>
      <c r="K121" s="218" t="e">
        <f t="shared" si="64"/>
        <v>#DIV/0!</v>
      </c>
      <c r="L121" s="231">
        <f t="shared" si="60"/>
        <v>0</v>
      </c>
    </row>
    <row r="122" spans="1:12" ht="40.5">
      <c r="A122" s="14" t="s">
        <v>213</v>
      </c>
      <c r="B122" s="32" t="s">
        <v>214</v>
      </c>
      <c r="C122" s="155">
        <v>0</v>
      </c>
      <c r="D122" s="155">
        <v>2762.6</v>
      </c>
      <c r="E122" s="155">
        <v>2399.5</v>
      </c>
      <c r="F122" s="155">
        <f>5612.1</f>
        <v>5612.1</v>
      </c>
      <c r="G122" s="155">
        <v>2399.5</v>
      </c>
      <c r="H122" s="167">
        <f t="shared" si="61"/>
        <v>3.0000000000000001E-3</v>
      </c>
      <c r="I122" s="177">
        <f>G122/E122</f>
        <v>1</v>
      </c>
      <c r="J122" s="217">
        <f t="shared" si="63"/>
        <v>-363.1</v>
      </c>
      <c r="K122" s="218">
        <f t="shared" si="64"/>
        <v>0.86899999999999999</v>
      </c>
      <c r="L122" s="231">
        <f t="shared" si="60"/>
        <v>-3212.6</v>
      </c>
    </row>
    <row r="123" spans="1:12" ht="27" hidden="1">
      <c r="A123" s="190" t="s">
        <v>227</v>
      </c>
      <c r="B123" s="32" t="s">
        <v>144</v>
      </c>
      <c r="C123" s="155">
        <v>0</v>
      </c>
      <c r="D123" s="155">
        <v>0</v>
      </c>
      <c r="E123" s="155">
        <v>0</v>
      </c>
      <c r="F123" s="155">
        <v>0</v>
      </c>
      <c r="G123" s="155">
        <v>0</v>
      </c>
      <c r="H123" s="167">
        <f t="shared" si="61"/>
        <v>0</v>
      </c>
      <c r="I123" s="177">
        <v>0</v>
      </c>
      <c r="J123" s="217">
        <f t="shared" si="63"/>
        <v>0</v>
      </c>
      <c r="K123" s="218">
        <v>0</v>
      </c>
      <c r="L123" s="231">
        <f t="shared" si="60"/>
        <v>0</v>
      </c>
    </row>
    <row r="124" spans="1:12" ht="40.5">
      <c r="A124" s="190" t="s">
        <v>264</v>
      </c>
      <c r="B124" s="32" t="s">
        <v>170</v>
      </c>
      <c r="C124" s="155">
        <v>6732.7</v>
      </c>
      <c r="D124" s="155">
        <f>6401.2+331.5</f>
        <v>6732.7</v>
      </c>
      <c r="E124" s="155">
        <v>3947.5</v>
      </c>
      <c r="F124" s="155">
        <v>5465.1</v>
      </c>
      <c r="G124" s="155">
        <v>3947.5</v>
      </c>
      <c r="H124" s="167">
        <f t="shared" si="61"/>
        <v>5.0000000000000001E-3</v>
      </c>
      <c r="I124" s="177">
        <f t="shared" ref="I124:I150" si="65">G124/E124</f>
        <v>1</v>
      </c>
      <c r="J124" s="217">
        <f t="shared" si="63"/>
        <v>-2785.2</v>
      </c>
      <c r="K124" s="218">
        <f t="shared" si="64"/>
        <v>0.58599999999999997</v>
      </c>
      <c r="L124" s="231">
        <f t="shared" si="60"/>
        <v>-1517.6</v>
      </c>
    </row>
    <row r="125" spans="1:12" ht="27">
      <c r="A125" s="190" t="s">
        <v>290</v>
      </c>
      <c r="B125" s="32" t="s">
        <v>266</v>
      </c>
      <c r="C125" s="155">
        <v>1928.9</v>
      </c>
      <c r="D125" s="155">
        <f>928.9+390+99.5</f>
        <v>1418.4</v>
      </c>
      <c r="E125" s="155">
        <f>132.6+105.9</f>
        <v>238.5</v>
      </c>
      <c r="F125" s="155">
        <f>F127</f>
        <v>746.4</v>
      </c>
      <c r="G125" s="155">
        <f>132.6+105.9</f>
        <v>238.5</v>
      </c>
      <c r="H125" s="167">
        <f t="shared" si="61"/>
        <v>0</v>
      </c>
      <c r="I125" s="177">
        <f t="shared" si="65"/>
        <v>1</v>
      </c>
      <c r="J125" s="217">
        <f t="shared" si="63"/>
        <v>-1179.9000000000001</v>
      </c>
      <c r="K125" s="218">
        <f t="shared" si="64"/>
        <v>0.16800000000000001</v>
      </c>
      <c r="L125" s="231">
        <f t="shared" si="60"/>
        <v>-507.9</v>
      </c>
    </row>
    <row r="126" spans="1:12">
      <c r="A126" s="14"/>
      <c r="B126" s="137" t="s">
        <v>183</v>
      </c>
      <c r="C126" s="155"/>
      <c r="D126" s="155"/>
      <c r="E126" s="155"/>
      <c r="F126" s="155"/>
      <c r="G126" s="155"/>
      <c r="H126" s="175"/>
      <c r="I126" s="177"/>
      <c r="J126" s="217"/>
      <c r="K126" s="218"/>
      <c r="L126" s="231">
        <f t="shared" si="60"/>
        <v>0</v>
      </c>
    </row>
    <row r="127" spans="1:12" ht="40.5">
      <c r="A127" s="14"/>
      <c r="B127" s="32" t="s">
        <v>186</v>
      </c>
      <c r="C127" s="155">
        <v>0</v>
      </c>
      <c r="D127" s="155">
        <f>D128+D129</f>
        <v>928.8</v>
      </c>
      <c r="E127" s="155">
        <f>E128+E129</f>
        <v>132.6</v>
      </c>
      <c r="F127" s="163">
        <f>F128+F129</f>
        <v>746.4</v>
      </c>
      <c r="G127" s="155">
        <f>G128+G129</f>
        <v>132.6</v>
      </c>
      <c r="H127" s="167">
        <f>G127/$G$219</f>
        <v>0</v>
      </c>
      <c r="I127" s="177">
        <f t="shared" si="65"/>
        <v>1</v>
      </c>
      <c r="J127" s="217">
        <f>G127-D127</f>
        <v>-796.2</v>
      </c>
      <c r="K127" s="218">
        <f t="shared" si="64"/>
        <v>0.14299999999999999</v>
      </c>
      <c r="L127" s="231">
        <f t="shared" si="60"/>
        <v>-613.79999999999995</v>
      </c>
    </row>
    <row r="128" spans="1:12" ht="40.5">
      <c r="A128" s="14" t="s">
        <v>184</v>
      </c>
      <c r="B128" s="134" t="s">
        <v>97</v>
      </c>
      <c r="C128" s="155">
        <v>0</v>
      </c>
      <c r="D128" s="155">
        <v>916.9</v>
      </c>
      <c r="E128" s="155">
        <v>120.7</v>
      </c>
      <c r="F128" s="155">
        <v>678.7</v>
      </c>
      <c r="G128" s="155">
        <v>120.7</v>
      </c>
      <c r="H128" s="167">
        <f>G128/$G$219</f>
        <v>0</v>
      </c>
      <c r="I128" s="177">
        <v>0</v>
      </c>
      <c r="J128" s="217">
        <f>G128-D128</f>
        <v>-796.2</v>
      </c>
      <c r="K128" s="218">
        <f t="shared" si="64"/>
        <v>0.13200000000000001</v>
      </c>
      <c r="L128" s="231">
        <f t="shared" si="60"/>
        <v>-558</v>
      </c>
    </row>
    <row r="129" spans="1:12">
      <c r="A129" s="14" t="s">
        <v>206</v>
      </c>
      <c r="B129" s="134" t="s">
        <v>98</v>
      </c>
      <c r="C129" s="155">
        <v>0</v>
      </c>
      <c r="D129" s="155">
        <v>11.9</v>
      </c>
      <c r="E129" s="155">
        <v>11.9</v>
      </c>
      <c r="F129" s="155">
        <v>67.7</v>
      </c>
      <c r="G129" s="155">
        <v>11.9</v>
      </c>
      <c r="H129" s="167">
        <f>G129/$G$219</f>
        <v>0</v>
      </c>
      <c r="I129" s="177">
        <f t="shared" si="65"/>
        <v>1</v>
      </c>
      <c r="J129" s="217">
        <f>G129-D129</f>
        <v>0</v>
      </c>
      <c r="K129" s="218">
        <f t="shared" si="64"/>
        <v>1</v>
      </c>
      <c r="L129" s="231">
        <f t="shared" si="60"/>
        <v>-55.8</v>
      </c>
    </row>
    <row r="130" spans="1:12">
      <c r="A130" s="94"/>
      <c r="B130" s="251" t="s">
        <v>191</v>
      </c>
      <c r="C130" s="102"/>
      <c r="D130" s="102"/>
      <c r="E130" s="102"/>
      <c r="F130" s="102"/>
      <c r="G130" s="102"/>
      <c r="H130" s="168"/>
      <c r="I130" s="177"/>
      <c r="J130" s="217"/>
      <c r="K130" s="218"/>
      <c r="L130" s="231">
        <f t="shared" si="60"/>
        <v>0</v>
      </c>
    </row>
    <row r="131" spans="1:12">
      <c r="A131" s="88"/>
      <c r="B131" s="89" t="s">
        <v>99</v>
      </c>
      <c r="C131" s="102">
        <v>0</v>
      </c>
      <c r="D131" s="102">
        <v>585.20000000000005</v>
      </c>
      <c r="E131" s="102">
        <v>120.7</v>
      </c>
      <c r="F131" s="102">
        <v>0</v>
      </c>
      <c r="G131" s="102">
        <v>120.7</v>
      </c>
      <c r="H131" s="168">
        <f t="shared" ref="H131" si="66">G131/$G$219</f>
        <v>0</v>
      </c>
      <c r="I131" s="177">
        <f t="shared" si="65"/>
        <v>1</v>
      </c>
      <c r="J131" s="217">
        <f t="shared" ref="J131:J139" si="67">G131-D131</f>
        <v>-464.5</v>
      </c>
      <c r="K131" s="218">
        <f t="shared" si="64"/>
        <v>0.20599999999999999</v>
      </c>
      <c r="L131" s="231">
        <f t="shared" si="60"/>
        <v>120.7</v>
      </c>
    </row>
    <row r="132" spans="1:12">
      <c r="A132" s="88"/>
      <c r="B132" s="89" t="s">
        <v>102</v>
      </c>
      <c r="C132" s="102">
        <v>0</v>
      </c>
      <c r="D132" s="102">
        <v>343.6</v>
      </c>
      <c r="E132" s="102">
        <v>11.9</v>
      </c>
      <c r="F132" s="102">
        <v>746.4</v>
      </c>
      <c r="G132" s="102">
        <v>11.9</v>
      </c>
      <c r="H132" s="168">
        <f>G132/$G$219</f>
        <v>0</v>
      </c>
      <c r="I132" s="177">
        <f t="shared" si="65"/>
        <v>1</v>
      </c>
      <c r="J132" s="217">
        <f t="shared" si="67"/>
        <v>-331.7</v>
      </c>
      <c r="K132" s="218">
        <f t="shared" si="64"/>
        <v>3.5000000000000003E-2</v>
      </c>
      <c r="L132" s="231">
        <f t="shared" si="60"/>
        <v>-734.5</v>
      </c>
    </row>
    <row r="133" spans="1:12" s="36" customFormat="1" ht="13.5" hidden="1" customHeight="1">
      <c r="A133" s="88"/>
      <c r="B133" s="89" t="s">
        <v>164</v>
      </c>
      <c r="C133" s="115">
        <v>0</v>
      </c>
      <c r="D133" s="148">
        <v>0</v>
      </c>
      <c r="E133" s="148">
        <v>0</v>
      </c>
      <c r="F133" s="155">
        <v>0</v>
      </c>
      <c r="G133" s="148">
        <v>0</v>
      </c>
      <c r="H133" s="167">
        <f>G133/$G$219</f>
        <v>0</v>
      </c>
      <c r="I133" s="177">
        <v>0</v>
      </c>
      <c r="J133" s="217">
        <f t="shared" si="67"/>
        <v>0</v>
      </c>
      <c r="K133" s="218">
        <v>0</v>
      </c>
      <c r="L133" s="231">
        <f t="shared" si="60"/>
        <v>0</v>
      </c>
    </row>
    <row r="134" spans="1:12" ht="34.5" customHeight="1">
      <c r="A134" s="190" t="s">
        <v>228</v>
      </c>
      <c r="B134" s="32" t="s">
        <v>212</v>
      </c>
      <c r="C134" s="155">
        <v>1000</v>
      </c>
      <c r="D134" s="155">
        <v>1800</v>
      </c>
      <c r="E134" s="155">
        <v>0</v>
      </c>
      <c r="F134" s="155">
        <v>1600</v>
      </c>
      <c r="G134" s="155">
        <v>0</v>
      </c>
      <c r="H134" s="175">
        <f>G134/$G$219</f>
        <v>0</v>
      </c>
      <c r="I134" s="177">
        <v>0</v>
      </c>
      <c r="J134" s="217">
        <f t="shared" si="67"/>
        <v>-1800</v>
      </c>
      <c r="K134" s="218">
        <f t="shared" si="64"/>
        <v>0</v>
      </c>
      <c r="L134" s="231">
        <f t="shared" si="60"/>
        <v>-1600</v>
      </c>
    </row>
    <row r="135" spans="1:12" hidden="1">
      <c r="A135" s="14"/>
      <c r="B135" s="32" t="s">
        <v>196</v>
      </c>
      <c r="C135" s="155">
        <v>0</v>
      </c>
      <c r="D135" s="155">
        <v>0</v>
      </c>
      <c r="E135" s="155">
        <v>0</v>
      </c>
      <c r="F135" s="155">
        <v>0</v>
      </c>
      <c r="G135" s="155">
        <v>0</v>
      </c>
      <c r="H135" s="175">
        <f>G135/$G$219</f>
        <v>0</v>
      </c>
      <c r="I135" s="177" t="e">
        <f t="shared" si="65"/>
        <v>#DIV/0!</v>
      </c>
      <c r="J135" s="217">
        <f t="shared" si="67"/>
        <v>0</v>
      </c>
      <c r="K135" s="218" t="e">
        <f t="shared" si="64"/>
        <v>#DIV/0!</v>
      </c>
      <c r="L135" s="231">
        <f t="shared" si="60"/>
        <v>0</v>
      </c>
    </row>
    <row r="136" spans="1:12" s="194" customFormat="1" ht="13.5" hidden="1" customHeight="1">
      <c r="A136" s="192" t="s">
        <v>145</v>
      </c>
      <c r="B136" s="195" t="s">
        <v>146</v>
      </c>
      <c r="C136" s="154">
        <v>0</v>
      </c>
      <c r="D136" s="154">
        <v>0</v>
      </c>
      <c r="E136" s="154"/>
      <c r="F136" s="154">
        <v>9.1999999999999993</v>
      </c>
      <c r="G136" s="154">
        <v>9.1999999999999993</v>
      </c>
      <c r="H136" s="175">
        <f>G136/$G$219</f>
        <v>0</v>
      </c>
      <c r="I136" s="177" t="e">
        <f t="shared" si="65"/>
        <v>#DIV/0!</v>
      </c>
      <c r="J136" s="217">
        <f t="shared" si="67"/>
        <v>9.1999999999999993</v>
      </c>
      <c r="K136" s="218" t="e">
        <f t="shared" si="64"/>
        <v>#DIV/0!</v>
      </c>
      <c r="L136" s="231">
        <f t="shared" si="60"/>
        <v>0</v>
      </c>
    </row>
    <row r="137" spans="1:12" ht="13.5" hidden="1" customHeight="1">
      <c r="A137" s="14"/>
      <c r="B137" s="8" t="s">
        <v>27</v>
      </c>
      <c r="C137" s="8"/>
      <c r="D137" s="154"/>
      <c r="E137" s="154"/>
      <c r="F137" s="5"/>
      <c r="G137" s="5"/>
      <c r="H137" s="175"/>
      <c r="I137" s="177" t="e">
        <f t="shared" si="65"/>
        <v>#DIV/0!</v>
      </c>
      <c r="J137" s="217">
        <f t="shared" si="67"/>
        <v>0</v>
      </c>
      <c r="K137" s="218" t="e">
        <f t="shared" si="64"/>
        <v>#DIV/0!</v>
      </c>
      <c r="L137" s="231">
        <f t="shared" si="60"/>
        <v>0</v>
      </c>
    </row>
    <row r="138" spans="1:12" ht="13.5" hidden="1" customHeight="1">
      <c r="A138" s="14"/>
      <c r="B138" s="7" t="s">
        <v>95</v>
      </c>
      <c r="C138" s="154"/>
      <c r="D138" s="154"/>
      <c r="E138" s="154"/>
      <c r="F138" s="5"/>
      <c r="G138" s="5"/>
      <c r="H138" s="175">
        <f>G138/$G$219</f>
        <v>0</v>
      </c>
      <c r="I138" s="177" t="e">
        <f t="shared" si="65"/>
        <v>#DIV/0!</v>
      </c>
      <c r="J138" s="217">
        <f t="shared" si="67"/>
        <v>0</v>
      </c>
      <c r="K138" s="218" t="e">
        <f t="shared" si="64"/>
        <v>#DIV/0!</v>
      </c>
      <c r="L138" s="231">
        <f t="shared" si="60"/>
        <v>0</v>
      </c>
    </row>
    <row r="139" spans="1:12">
      <c r="A139" s="14" t="s">
        <v>42</v>
      </c>
      <c r="B139" s="8" t="s">
        <v>43</v>
      </c>
      <c r="C139" s="154">
        <f>C143+C144+C145+C146+C141+C142</f>
        <v>131932.29999999999</v>
      </c>
      <c r="D139" s="154">
        <f>D143+D144+D145+D146+D141+D142+D156+D157</f>
        <v>234908.9</v>
      </c>
      <c r="E139" s="154">
        <f>E142+E141+E143+E144+E145+E156</f>
        <v>145067.6</v>
      </c>
      <c r="F139" s="154">
        <f t="shared" ref="F139" si="68">F143+F144+F145+F146+F141+F142+F156+F157</f>
        <v>129596.5</v>
      </c>
      <c r="G139" s="154">
        <f>G142+G141+G143+G144+G145+G156</f>
        <v>145067.6</v>
      </c>
      <c r="H139" s="175">
        <f>G139/$G$219</f>
        <v>0.17100000000000001</v>
      </c>
      <c r="I139" s="177">
        <f t="shared" si="65"/>
        <v>1</v>
      </c>
      <c r="J139" s="217">
        <f t="shared" si="67"/>
        <v>-89841.3</v>
      </c>
      <c r="K139" s="218">
        <f t="shared" si="64"/>
        <v>0.61799999999999999</v>
      </c>
      <c r="L139" s="231">
        <f t="shared" si="60"/>
        <v>15471.1</v>
      </c>
    </row>
    <row r="140" spans="1:12">
      <c r="A140" s="14"/>
      <c r="B140" s="8" t="s">
        <v>27</v>
      </c>
      <c r="C140" s="8"/>
      <c r="D140" s="154"/>
      <c r="E140" s="5"/>
      <c r="F140" s="5"/>
      <c r="G140" s="5"/>
      <c r="H140" s="175"/>
      <c r="I140" s="177"/>
      <c r="J140" s="217"/>
      <c r="K140" s="218"/>
      <c r="L140" s="231">
        <f t="shared" si="60"/>
        <v>0</v>
      </c>
    </row>
    <row r="141" spans="1:12" ht="27">
      <c r="A141" s="14" t="s">
        <v>250</v>
      </c>
      <c r="B141" s="32" t="s">
        <v>251</v>
      </c>
      <c r="C141" s="155">
        <v>500</v>
      </c>
      <c r="D141" s="155">
        <v>500</v>
      </c>
      <c r="E141" s="155">
        <v>0</v>
      </c>
      <c r="F141" s="155">
        <v>0</v>
      </c>
      <c r="G141" s="155">
        <v>0</v>
      </c>
      <c r="H141" s="175">
        <f>G141/$G$219</f>
        <v>0</v>
      </c>
      <c r="I141" s="177">
        <v>0</v>
      </c>
      <c r="J141" s="217">
        <f>G141-D141</f>
        <v>-500</v>
      </c>
      <c r="K141" s="218">
        <f t="shared" si="64"/>
        <v>0</v>
      </c>
      <c r="L141" s="231">
        <f>G141-F141</f>
        <v>0</v>
      </c>
    </row>
    <row r="142" spans="1:12" ht="56.25" customHeight="1">
      <c r="A142" s="14" t="s">
        <v>215</v>
      </c>
      <c r="B142" s="8" t="s">
        <v>230</v>
      </c>
      <c r="C142" s="154">
        <v>8918.6</v>
      </c>
      <c r="D142" s="154">
        <v>95110.1</v>
      </c>
      <c r="E142" s="5">
        <v>68256.899999999994</v>
      </c>
      <c r="F142" s="5">
        <f>9520.2+56330.8</f>
        <v>65851</v>
      </c>
      <c r="G142" s="5">
        <v>68256.899999999994</v>
      </c>
      <c r="H142" s="167">
        <f>G142/$G$219</f>
        <v>0.08</v>
      </c>
      <c r="I142" s="177">
        <v>0</v>
      </c>
      <c r="J142" s="217">
        <f t="shared" ref="J142:J150" si="69">G142-D142</f>
        <v>-26853.200000000001</v>
      </c>
      <c r="K142" s="218">
        <f t="shared" si="64"/>
        <v>0.71799999999999997</v>
      </c>
      <c r="L142" s="231">
        <f t="shared" si="60"/>
        <v>2405.9</v>
      </c>
    </row>
    <row r="143" spans="1:12">
      <c r="A143" s="14" t="s">
        <v>207</v>
      </c>
      <c r="B143" s="7" t="s">
        <v>95</v>
      </c>
      <c r="C143" s="154">
        <v>67699.199999999997</v>
      </c>
      <c r="D143" s="154">
        <v>73294.2</v>
      </c>
      <c r="E143" s="5">
        <v>53311.7</v>
      </c>
      <c r="F143" s="5">
        <v>47964.6</v>
      </c>
      <c r="G143" s="5">
        <v>53311.7</v>
      </c>
      <c r="H143" s="167">
        <f>G143/$G$219</f>
        <v>6.3E-2</v>
      </c>
      <c r="I143" s="177">
        <f t="shared" si="65"/>
        <v>1</v>
      </c>
      <c r="J143" s="217">
        <f t="shared" si="69"/>
        <v>-19982.5</v>
      </c>
      <c r="K143" s="218">
        <f t="shared" si="64"/>
        <v>0.72699999999999998</v>
      </c>
      <c r="L143" s="231">
        <f t="shared" si="60"/>
        <v>5347.1</v>
      </c>
    </row>
    <row r="144" spans="1:12" ht="27">
      <c r="A144" s="190" t="s">
        <v>229</v>
      </c>
      <c r="B144" s="7" t="s">
        <v>96</v>
      </c>
      <c r="C144" s="154">
        <v>9638.6</v>
      </c>
      <c r="D144" s="154">
        <v>9638.6</v>
      </c>
      <c r="E144" s="5">
        <v>2391.5</v>
      </c>
      <c r="F144" s="5">
        <v>4850</v>
      </c>
      <c r="G144" s="5">
        <v>2391.5</v>
      </c>
      <c r="H144" s="167">
        <f>G144/$G$219</f>
        <v>3.0000000000000001E-3</v>
      </c>
      <c r="I144" s="177">
        <f t="shared" si="65"/>
        <v>1</v>
      </c>
      <c r="J144" s="217">
        <f t="shared" si="69"/>
        <v>-7247.1</v>
      </c>
      <c r="K144" s="218">
        <f t="shared" si="64"/>
        <v>0.248</v>
      </c>
      <c r="L144" s="231">
        <f t="shared" si="60"/>
        <v>-2458.5</v>
      </c>
    </row>
    <row r="145" spans="1:12" ht="27">
      <c r="A145" s="14" t="s">
        <v>267</v>
      </c>
      <c r="B145" s="7" t="s">
        <v>252</v>
      </c>
      <c r="C145" s="154">
        <f>39252.1+5923.8</f>
        <v>45175.9</v>
      </c>
      <c r="D145" s="154">
        <v>53842</v>
      </c>
      <c r="E145" s="5">
        <v>20307.5</v>
      </c>
      <c r="F145" s="5">
        <f>F148</f>
        <v>10930.9</v>
      </c>
      <c r="G145" s="5">
        <v>20307.5</v>
      </c>
      <c r="H145" s="175">
        <f>G145/$G$219</f>
        <v>2.4E-2</v>
      </c>
      <c r="I145" s="177">
        <f t="shared" si="65"/>
        <v>1</v>
      </c>
      <c r="J145" s="217">
        <f t="shared" si="69"/>
        <v>-33534.5</v>
      </c>
      <c r="K145" s="218">
        <f t="shared" si="64"/>
        <v>0.377</v>
      </c>
      <c r="L145" s="231">
        <f t="shared" si="60"/>
        <v>9376.6</v>
      </c>
    </row>
    <row r="146" spans="1:12" s="194" customFormat="1" ht="27" hidden="1" customHeight="1">
      <c r="A146" s="192"/>
      <c r="B146" s="193" t="s">
        <v>185</v>
      </c>
      <c r="C146" s="154">
        <v>0</v>
      </c>
      <c r="D146" s="154">
        <v>0</v>
      </c>
      <c r="E146" s="147">
        <v>2729.5</v>
      </c>
      <c r="F146" s="147">
        <v>0</v>
      </c>
      <c r="G146" s="147">
        <v>2729.5</v>
      </c>
      <c r="H146" s="151">
        <v>0</v>
      </c>
      <c r="I146" s="177">
        <f t="shared" si="65"/>
        <v>1</v>
      </c>
      <c r="J146" s="217">
        <v>0</v>
      </c>
      <c r="K146" s="218" t="e">
        <f t="shared" si="64"/>
        <v>#DIV/0!</v>
      </c>
      <c r="L146" s="231">
        <f t="shared" si="60"/>
        <v>2729.5</v>
      </c>
    </row>
    <row r="147" spans="1:12" ht="12.75" customHeight="1">
      <c r="A147" s="14"/>
      <c r="B147" s="7" t="s">
        <v>27</v>
      </c>
      <c r="C147" s="154"/>
      <c r="D147" s="154"/>
      <c r="E147" s="5"/>
      <c r="F147" s="5"/>
      <c r="G147" s="5"/>
      <c r="H147" s="175"/>
      <c r="I147" s="177"/>
      <c r="J147" s="217"/>
      <c r="K147" s="218"/>
      <c r="L147" s="231"/>
    </row>
    <row r="148" spans="1:12" ht="40.5">
      <c r="A148" s="14" t="s">
        <v>224</v>
      </c>
      <c r="B148" s="134" t="s">
        <v>187</v>
      </c>
      <c r="C148" s="154">
        <f>C149+C150</f>
        <v>5923.8</v>
      </c>
      <c r="D148" s="154">
        <f>D149+D150</f>
        <v>14592.6</v>
      </c>
      <c r="E148" s="154">
        <f>E149+E150</f>
        <v>7516.3</v>
      </c>
      <c r="F148" s="154">
        <f>F149+F150</f>
        <v>10930.9</v>
      </c>
      <c r="G148" s="154">
        <f>G149+G150</f>
        <v>7516.3</v>
      </c>
      <c r="H148" s="167">
        <f>G148/$G$219</f>
        <v>8.9999999999999993E-3</v>
      </c>
      <c r="I148" s="177">
        <f t="shared" si="65"/>
        <v>1</v>
      </c>
      <c r="J148" s="217">
        <f t="shared" si="69"/>
        <v>-7076.3</v>
      </c>
      <c r="K148" s="218">
        <f t="shared" si="64"/>
        <v>0.51500000000000001</v>
      </c>
      <c r="L148" s="231">
        <f t="shared" si="60"/>
        <v>-3414.6</v>
      </c>
    </row>
    <row r="149" spans="1:12" ht="40.5">
      <c r="A149" s="15">
        <v>611</v>
      </c>
      <c r="B149" s="7" t="s">
        <v>97</v>
      </c>
      <c r="C149" s="154">
        <v>3206.1</v>
      </c>
      <c r="D149" s="154">
        <v>12206.8</v>
      </c>
      <c r="E149" s="154">
        <v>5761.5</v>
      </c>
      <c r="F149" s="154">
        <v>9817.6</v>
      </c>
      <c r="G149" s="154">
        <v>5761.5</v>
      </c>
      <c r="H149" s="167">
        <f>G149/$G$219</f>
        <v>7.0000000000000001E-3</v>
      </c>
      <c r="I149" s="177">
        <v>0</v>
      </c>
      <c r="J149" s="217">
        <f t="shared" si="69"/>
        <v>-6445.3</v>
      </c>
      <c r="K149" s="218">
        <f t="shared" si="64"/>
        <v>0.47199999999999998</v>
      </c>
      <c r="L149" s="231">
        <f t="shared" si="60"/>
        <v>-4056.1</v>
      </c>
    </row>
    <row r="150" spans="1:12">
      <c r="A150" s="15">
        <v>612</v>
      </c>
      <c r="B150" s="7" t="s">
        <v>98</v>
      </c>
      <c r="C150" s="154">
        <v>2717.7</v>
      </c>
      <c r="D150" s="154">
        <v>2385.8000000000002</v>
      </c>
      <c r="E150" s="5">
        <v>1754.8</v>
      </c>
      <c r="F150" s="5">
        <v>1113.3</v>
      </c>
      <c r="G150" s="5">
        <v>1754.8</v>
      </c>
      <c r="H150" s="167">
        <f>G150/$G$219</f>
        <v>2E-3</v>
      </c>
      <c r="I150" s="177">
        <f t="shared" si="65"/>
        <v>1</v>
      </c>
      <c r="J150" s="217">
        <f t="shared" si="69"/>
        <v>-631</v>
      </c>
      <c r="K150" s="218">
        <f t="shared" si="64"/>
        <v>0.73599999999999999</v>
      </c>
      <c r="L150" s="231">
        <f t="shared" si="60"/>
        <v>641.5</v>
      </c>
    </row>
    <row r="151" spans="1:12">
      <c r="A151" s="94"/>
      <c r="B151" s="95" t="s">
        <v>191</v>
      </c>
      <c r="C151" s="100"/>
      <c r="D151" s="100"/>
      <c r="E151" s="100"/>
      <c r="F151" s="100"/>
      <c r="G151" s="100"/>
      <c r="H151" s="168"/>
      <c r="I151" s="218"/>
      <c r="J151" s="217"/>
      <c r="K151" s="218"/>
      <c r="L151" s="231"/>
    </row>
    <row r="152" spans="1:12">
      <c r="A152" s="88"/>
      <c r="B152" s="89" t="s">
        <v>99</v>
      </c>
      <c r="C152" s="100">
        <v>5923.8</v>
      </c>
      <c r="D152" s="100">
        <v>8706.9</v>
      </c>
      <c r="E152" s="100">
        <v>3012.6</v>
      </c>
      <c r="F152" s="100">
        <v>6326.7</v>
      </c>
      <c r="G152" s="100">
        <v>3012.6</v>
      </c>
      <c r="H152" s="168">
        <f t="shared" ref="H152:H160" si="70">G152/$G$219</f>
        <v>4.0000000000000001E-3</v>
      </c>
      <c r="I152" s="218">
        <f>G152/E152</f>
        <v>1</v>
      </c>
      <c r="J152" s="217">
        <f t="shared" ref="J152:J160" si="71">G152-D152</f>
        <v>-5694.3</v>
      </c>
      <c r="K152" s="218">
        <f>G152/D152</f>
        <v>0.34599999999999997</v>
      </c>
      <c r="L152" s="231">
        <f>G152-F152</f>
        <v>-3314.1</v>
      </c>
    </row>
    <row r="153" spans="1:12">
      <c r="A153" s="88"/>
      <c r="B153" s="89" t="s">
        <v>102</v>
      </c>
      <c r="C153" s="100">
        <v>0</v>
      </c>
      <c r="D153" s="100">
        <v>289.3</v>
      </c>
      <c r="E153" s="100">
        <v>163.30000000000001</v>
      </c>
      <c r="F153" s="100">
        <v>87.8</v>
      </c>
      <c r="G153" s="100">
        <v>163.30000000000001</v>
      </c>
      <c r="H153" s="168">
        <f t="shared" si="70"/>
        <v>0</v>
      </c>
      <c r="I153" s="218">
        <f t="shared" ref="I153:I156" si="72">G153/E153</f>
        <v>1</v>
      </c>
      <c r="J153" s="217">
        <f t="shared" si="71"/>
        <v>-126</v>
      </c>
      <c r="K153" s="218">
        <f t="shared" ref="K153:K157" si="73">G153/D153</f>
        <v>0.56399999999999995</v>
      </c>
      <c r="L153" s="231">
        <f t="shared" ref="L153:L157" si="74">G153-F153</f>
        <v>75.5</v>
      </c>
    </row>
    <row r="154" spans="1:12" hidden="1">
      <c r="A154" s="88"/>
      <c r="B154" s="89" t="s">
        <v>163</v>
      </c>
      <c r="C154" s="100">
        <v>0</v>
      </c>
      <c r="D154" s="100">
        <v>0</v>
      </c>
      <c r="E154" s="100">
        <v>0</v>
      </c>
      <c r="F154" s="100">
        <v>0</v>
      </c>
      <c r="G154" s="100">
        <v>0</v>
      </c>
      <c r="H154" s="168">
        <f t="shared" si="70"/>
        <v>0</v>
      </c>
      <c r="I154" s="218">
        <v>0</v>
      </c>
      <c r="J154" s="217">
        <f t="shared" si="71"/>
        <v>0</v>
      </c>
      <c r="K154" s="218">
        <v>0</v>
      </c>
      <c r="L154" s="231">
        <f t="shared" si="74"/>
        <v>0</v>
      </c>
    </row>
    <row r="155" spans="1:12">
      <c r="A155" s="88"/>
      <c r="B155" s="89" t="s">
        <v>164</v>
      </c>
      <c r="C155" s="100">
        <v>0</v>
      </c>
      <c r="D155" s="100">
        <v>5596.4</v>
      </c>
      <c r="E155" s="100">
        <v>4340.3999999999996</v>
      </c>
      <c r="F155" s="100">
        <v>440.6</v>
      </c>
      <c r="G155" s="100">
        <v>4340.3999999999996</v>
      </c>
      <c r="H155" s="168">
        <f t="shared" si="70"/>
        <v>5.0000000000000001E-3</v>
      </c>
      <c r="I155" s="218">
        <f t="shared" si="72"/>
        <v>1</v>
      </c>
      <c r="J155" s="217">
        <f t="shared" si="71"/>
        <v>-1256</v>
      </c>
      <c r="K155" s="218">
        <f t="shared" si="73"/>
        <v>0.77600000000000002</v>
      </c>
      <c r="L155" s="231">
        <f t="shared" si="74"/>
        <v>3899.8</v>
      </c>
    </row>
    <row r="156" spans="1:12" ht="27">
      <c r="A156" s="14" t="s">
        <v>294</v>
      </c>
      <c r="B156" s="7" t="s">
        <v>293</v>
      </c>
      <c r="C156" s="154">
        <v>0</v>
      </c>
      <c r="D156" s="154">
        <v>1200</v>
      </c>
      <c r="E156" s="5">
        <v>800</v>
      </c>
      <c r="F156" s="5">
        <v>0</v>
      </c>
      <c r="G156" s="5">
        <v>800</v>
      </c>
      <c r="H156" s="175">
        <f t="shared" si="70"/>
        <v>1E-3</v>
      </c>
      <c r="I156" s="218">
        <f t="shared" si="72"/>
        <v>1</v>
      </c>
      <c r="J156" s="217">
        <f t="shared" si="71"/>
        <v>-400</v>
      </c>
      <c r="K156" s="218">
        <f t="shared" si="73"/>
        <v>0.66700000000000004</v>
      </c>
      <c r="L156" s="231">
        <f t="shared" si="74"/>
        <v>800</v>
      </c>
    </row>
    <row r="157" spans="1:12" ht="54">
      <c r="A157" s="14" t="s">
        <v>291</v>
      </c>
      <c r="B157" s="7" t="s">
        <v>292</v>
      </c>
      <c r="C157" s="154">
        <v>0</v>
      </c>
      <c r="D157" s="154">
        <v>1324</v>
      </c>
      <c r="E157" s="5">
        <v>0</v>
      </c>
      <c r="F157" s="5">
        <v>0</v>
      </c>
      <c r="G157" s="5">
        <v>0</v>
      </c>
      <c r="H157" s="175">
        <f t="shared" si="70"/>
        <v>0</v>
      </c>
      <c r="I157" s="218">
        <v>0</v>
      </c>
      <c r="J157" s="217">
        <f t="shared" si="71"/>
        <v>-1324</v>
      </c>
      <c r="K157" s="218">
        <f t="shared" si="73"/>
        <v>0</v>
      </c>
      <c r="L157" s="231">
        <f t="shared" si="74"/>
        <v>0</v>
      </c>
    </row>
    <row r="158" spans="1:12" s="1" customFormat="1" ht="27">
      <c r="A158" s="14" t="s">
        <v>56</v>
      </c>
      <c r="B158" s="7" t="s">
        <v>57</v>
      </c>
      <c r="C158" s="154">
        <f>C159</f>
        <v>1363.2</v>
      </c>
      <c r="D158" s="154">
        <f>D159</f>
        <v>1363.2</v>
      </c>
      <c r="E158" s="154">
        <f t="shared" ref="E158:G158" si="75">E159</f>
        <v>757.8</v>
      </c>
      <c r="F158" s="154">
        <f t="shared" si="75"/>
        <v>831</v>
      </c>
      <c r="G158" s="154">
        <f t="shared" si="75"/>
        <v>757.8</v>
      </c>
      <c r="H158" s="167">
        <f t="shared" si="70"/>
        <v>1E-3</v>
      </c>
      <c r="I158" s="177">
        <f>G158/E158</f>
        <v>1</v>
      </c>
      <c r="J158" s="217">
        <f t="shared" si="71"/>
        <v>-605.4</v>
      </c>
      <c r="K158" s="218">
        <f>G158/D158</f>
        <v>0.55600000000000005</v>
      </c>
      <c r="L158" s="231">
        <f>G158-F158</f>
        <v>-73.2</v>
      </c>
    </row>
    <row r="159" spans="1:12" s="1" customFormat="1" ht="17.25" customHeight="1">
      <c r="A159" s="14"/>
      <c r="B159" s="7" t="s">
        <v>171</v>
      </c>
      <c r="C159" s="154">
        <v>1363.2</v>
      </c>
      <c r="D159" s="154">
        <v>1363.2</v>
      </c>
      <c r="E159" s="5">
        <v>757.8</v>
      </c>
      <c r="F159" s="5">
        <v>831</v>
      </c>
      <c r="G159" s="5">
        <v>757.8</v>
      </c>
      <c r="H159" s="167">
        <f t="shared" si="70"/>
        <v>1E-3</v>
      </c>
      <c r="I159" s="177">
        <f>G159/E159</f>
        <v>1</v>
      </c>
      <c r="J159" s="217">
        <f t="shared" si="71"/>
        <v>-605.4</v>
      </c>
      <c r="K159" s="218">
        <f t="shared" ref="K159:K164" si="76">G159/D159</f>
        <v>0.55600000000000005</v>
      </c>
      <c r="L159" s="231">
        <f>G159-F159</f>
        <v>-73.2</v>
      </c>
    </row>
    <row r="160" spans="1:12" s="1" customFormat="1" ht="13.5" hidden="1" customHeight="1">
      <c r="A160" s="14"/>
      <c r="B160" s="7" t="s">
        <v>174</v>
      </c>
      <c r="C160" s="91">
        <v>0</v>
      </c>
      <c r="D160" s="154">
        <v>0</v>
      </c>
      <c r="E160" s="5">
        <v>0</v>
      </c>
      <c r="F160" s="5">
        <v>0</v>
      </c>
      <c r="G160" s="5">
        <v>0</v>
      </c>
      <c r="H160" s="167">
        <f t="shared" si="70"/>
        <v>0</v>
      </c>
      <c r="I160" s="177" t="e">
        <f>G160/E160</f>
        <v>#DIV/0!</v>
      </c>
      <c r="J160" s="217">
        <f t="shared" si="71"/>
        <v>0</v>
      </c>
      <c r="K160" s="218" t="e">
        <f t="shared" si="76"/>
        <v>#DIV/0!</v>
      </c>
      <c r="L160" s="231" t="e">
        <f>G160-#REF!</f>
        <v>#REF!</v>
      </c>
    </row>
    <row r="161" spans="1:12">
      <c r="A161" s="14"/>
      <c r="B161" s="6" t="s">
        <v>125</v>
      </c>
      <c r="C161" s="6"/>
      <c r="D161" s="5"/>
      <c r="E161" s="5"/>
      <c r="F161" s="5"/>
      <c r="G161" s="5"/>
      <c r="H161" s="175"/>
      <c r="I161" s="177"/>
      <c r="J161" s="217"/>
      <c r="K161" s="218"/>
      <c r="L161" s="231"/>
    </row>
    <row r="162" spans="1:12">
      <c r="A162" s="14"/>
      <c r="B162" s="7" t="s">
        <v>99</v>
      </c>
      <c r="C162" s="5">
        <v>5923.8</v>
      </c>
      <c r="D162" s="5">
        <v>9292.1</v>
      </c>
      <c r="E162" s="5">
        <v>3133.2</v>
      </c>
      <c r="F162" s="5">
        <v>9101.4</v>
      </c>
      <c r="G162" s="5">
        <v>3133.2</v>
      </c>
      <c r="H162" s="175">
        <f t="shared" ref="H162:H168" si="77">G162/$G$219</f>
        <v>4.0000000000000001E-3</v>
      </c>
      <c r="I162" s="177">
        <f t="shared" ref="I162:I168" si="78">G162/E162</f>
        <v>1</v>
      </c>
      <c r="J162" s="217">
        <f t="shared" ref="J162:J168" si="79">G162-D162</f>
        <v>-6158.9</v>
      </c>
      <c r="K162" s="218">
        <f t="shared" si="76"/>
        <v>0.33700000000000002</v>
      </c>
      <c r="L162" s="231">
        <f>G162-F162</f>
        <v>-5968.2</v>
      </c>
    </row>
    <row r="163" spans="1:12" s="120" customFormat="1" ht="13.5" hidden="1" customHeight="1">
      <c r="A163" s="252"/>
      <c r="B163" s="253" t="s">
        <v>135</v>
      </c>
      <c r="C163" s="171"/>
      <c r="D163" s="171"/>
      <c r="E163" s="171">
        <v>0</v>
      </c>
      <c r="F163" s="171">
        <v>0</v>
      </c>
      <c r="G163" s="171">
        <v>0</v>
      </c>
      <c r="H163" s="254">
        <f t="shared" si="77"/>
        <v>0</v>
      </c>
      <c r="I163" s="177" t="e">
        <f t="shared" si="78"/>
        <v>#DIV/0!</v>
      </c>
      <c r="J163" s="234">
        <f t="shared" si="79"/>
        <v>0</v>
      </c>
      <c r="K163" s="218" t="e">
        <f t="shared" si="76"/>
        <v>#DIV/0!</v>
      </c>
      <c r="L163" s="231">
        <f t="shared" ref="L163:L164" si="80">G163-F163</f>
        <v>0</v>
      </c>
    </row>
    <row r="164" spans="1:12">
      <c r="A164" s="14"/>
      <c r="B164" s="17" t="s">
        <v>143</v>
      </c>
      <c r="C164" s="154">
        <v>143433.4</v>
      </c>
      <c r="D164" s="154">
        <v>246600</v>
      </c>
      <c r="E164" s="154">
        <v>150235.79999999999</v>
      </c>
      <c r="F164" s="154">
        <v>132480.1</v>
      </c>
      <c r="G164" s="154">
        <v>150235.79999999999</v>
      </c>
      <c r="H164" s="175">
        <f t="shared" si="77"/>
        <v>0.17699999999999999</v>
      </c>
      <c r="I164" s="177">
        <f t="shared" si="78"/>
        <v>1</v>
      </c>
      <c r="J164" s="217">
        <f t="shared" si="79"/>
        <v>-96364.2</v>
      </c>
      <c r="K164" s="218">
        <f t="shared" si="76"/>
        <v>0.60899999999999999</v>
      </c>
      <c r="L164" s="231">
        <f t="shared" si="80"/>
        <v>17755.7</v>
      </c>
    </row>
    <row r="165" spans="1:12" s="23" customFormat="1">
      <c r="A165" s="69" t="s">
        <v>111</v>
      </c>
      <c r="B165" s="75" t="s">
        <v>110</v>
      </c>
      <c r="C165" s="70">
        <f>C166</f>
        <v>14945.1</v>
      </c>
      <c r="D165" s="153">
        <f>D166</f>
        <v>14945.1</v>
      </c>
      <c r="E165" s="153">
        <f t="shared" ref="E165:G165" si="81">E166</f>
        <v>10331.200000000001</v>
      </c>
      <c r="F165" s="153">
        <f t="shared" si="81"/>
        <v>8116.2</v>
      </c>
      <c r="G165" s="153">
        <f t="shared" si="81"/>
        <v>10331.200000000001</v>
      </c>
      <c r="H165" s="71">
        <f t="shared" si="77"/>
        <v>1.2E-2</v>
      </c>
      <c r="I165" s="177">
        <f t="shared" si="78"/>
        <v>1</v>
      </c>
      <c r="J165" s="178">
        <f t="shared" si="79"/>
        <v>-4613.8999999999996</v>
      </c>
      <c r="K165" s="177">
        <f t="shared" ref="K165:K168" si="82">G165/D165</f>
        <v>0.69099999999999995</v>
      </c>
      <c r="L165" s="179">
        <f>G165-F165</f>
        <v>2215</v>
      </c>
    </row>
    <row r="166" spans="1:12" s="36" customFormat="1">
      <c r="A166" s="92" t="s">
        <v>44</v>
      </c>
      <c r="B166" s="93" t="s">
        <v>52</v>
      </c>
      <c r="C166" s="170">
        <f>C167+C168+C178</f>
        <v>14945.1</v>
      </c>
      <c r="D166" s="170">
        <f>D167+D168+D178</f>
        <v>14945.1</v>
      </c>
      <c r="E166" s="170">
        <f>E167+E168+E178</f>
        <v>10331.200000000001</v>
      </c>
      <c r="F166" s="170">
        <f>F167+F168+F178</f>
        <v>8116.2</v>
      </c>
      <c r="G166" s="170">
        <f>G167+G168+G178</f>
        <v>10331.200000000001</v>
      </c>
      <c r="H166" s="81">
        <f t="shared" si="77"/>
        <v>1.2E-2</v>
      </c>
      <c r="I166" s="177">
        <f t="shared" si="78"/>
        <v>1</v>
      </c>
      <c r="J166" s="217">
        <f t="shared" si="79"/>
        <v>-4613.8999999999996</v>
      </c>
      <c r="K166" s="218">
        <f t="shared" si="82"/>
        <v>0.69099999999999995</v>
      </c>
      <c r="L166" s="231">
        <f>G166-F166</f>
        <v>2215</v>
      </c>
    </row>
    <row r="167" spans="1:12" ht="40.5">
      <c r="A167" s="15">
        <v>611</v>
      </c>
      <c r="B167" s="7" t="s">
        <v>97</v>
      </c>
      <c r="C167" s="5">
        <v>11451.1</v>
      </c>
      <c r="D167" s="5">
        <v>11358.4</v>
      </c>
      <c r="E167" s="5">
        <v>7072.1</v>
      </c>
      <c r="F167" s="5">
        <v>6092.3</v>
      </c>
      <c r="G167" s="5">
        <v>7072.1</v>
      </c>
      <c r="H167" s="175">
        <f t="shared" si="77"/>
        <v>8.0000000000000002E-3</v>
      </c>
      <c r="I167" s="177">
        <f t="shared" si="78"/>
        <v>1</v>
      </c>
      <c r="J167" s="217">
        <f t="shared" si="79"/>
        <v>-4286.3</v>
      </c>
      <c r="K167" s="218">
        <f t="shared" si="82"/>
        <v>0.623</v>
      </c>
      <c r="L167" s="231">
        <f>G167-F167</f>
        <v>979.8</v>
      </c>
    </row>
    <row r="168" spans="1:12">
      <c r="A168" s="15">
        <v>612</v>
      </c>
      <c r="B168" s="7" t="s">
        <v>200</v>
      </c>
      <c r="C168" s="5">
        <v>2294</v>
      </c>
      <c r="D168" s="5">
        <f>3586.7-1200</f>
        <v>2386.6999999999998</v>
      </c>
      <c r="E168" s="5">
        <f>3259.1-1199.9</f>
        <v>2059.1999999999998</v>
      </c>
      <c r="F168" s="5">
        <v>834.3</v>
      </c>
      <c r="G168" s="5">
        <f>3259.1-1199.9</f>
        <v>2059.1999999999998</v>
      </c>
      <c r="H168" s="175">
        <f t="shared" si="77"/>
        <v>2E-3</v>
      </c>
      <c r="I168" s="218">
        <f t="shared" si="78"/>
        <v>1</v>
      </c>
      <c r="J168" s="217">
        <f t="shared" si="79"/>
        <v>-327.5</v>
      </c>
      <c r="K168" s="218">
        <f t="shared" si="82"/>
        <v>0.86299999999999999</v>
      </c>
      <c r="L168" s="231">
        <f>G168-F168</f>
        <v>1224.9000000000001</v>
      </c>
    </row>
    <row r="169" spans="1:12">
      <c r="A169" s="94"/>
      <c r="B169" s="95" t="s">
        <v>183</v>
      </c>
      <c r="C169" s="95"/>
      <c r="D169" s="96"/>
      <c r="E169" s="96"/>
      <c r="F169" s="96"/>
      <c r="G169" s="96"/>
      <c r="H169" s="168"/>
      <c r="I169" s="218"/>
      <c r="J169" s="217"/>
      <c r="K169" s="218"/>
      <c r="L169" s="231"/>
    </row>
    <row r="170" spans="1:12">
      <c r="A170" s="88"/>
      <c r="B170" s="89" t="s">
        <v>99</v>
      </c>
      <c r="C170" s="96">
        <v>12649.1</v>
      </c>
      <c r="D170" s="96">
        <v>12550.5</v>
      </c>
      <c r="E170" s="96">
        <v>8514.6</v>
      </c>
      <c r="F170" s="96">
        <v>6336.8</v>
      </c>
      <c r="G170" s="96">
        <v>8514.6</v>
      </c>
      <c r="H170" s="168">
        <f t="shared" ref="H170:H175" si="83">G170/$G$219</f>
        <v>0.01</v>
      </c>
      <c r="I170" s="218">
        <f>G170/E170</f>
        <v>1</v>
      </c>
      <c r="J170" s="217">
        <f t="shared" ref="J170:J175" si="84">G170-D170</f>
        <v>-4035.9</v>
      </c>
      <c r="K170" s="218">
        <f t="shared" ref="K170:K175" si="85">G170/D170</f>
        <v>0.67800000000000005</v>
      </c>
      <c r="L170" s="231">
        <f>G170-F170</f>
        <v>2177.8000000000002</v>
      </c>
    </row>
    <row r="171" spans="1:12">
      <c r="A171" s="88"/>
      <c r="B171" s="89" t="s">
        <v>165</v>
      </c>
      <c r="C171" s="96">
        <v>38</v>
      </c>
      <c r="D171" s="96">
        <v>55</v>
      </c>
      <c r="E171" s="96">
        <v>39.1</v>
      </c>
      <c r="F171" s="96">
        <v>39.299999999999997</v>
      </c>
      <c r="G171" s="96">
        <v>39.1</v>
      </c>
      <c r="H171" s="168">
        <f t="shared" si="83"/>
        <v>0</v>
      </c>
      <c r="I171" s="218">
        <f>G171/E171</f>
        <v>1</v>
      </c>
      <c r="J171" s="217">
        <f t="shared" si="84"/>
        <v>-15.9</v>
      </c>
      <c r="K171" s="218">
        <f t="shared" si="85"/>
        <v>0.71099999999999997</v>
      </c>
      <c r="L171" s="231">
        <f t="shared" ref="L171:L174" si="86">G171-F171</f>
        <v>-0.2</v>
      </c>
    </row>
    <row r="172" spans="1:12">
      <c r="A172" s="88"/>
      <c r="B172" s="89" t="s">
        <v>102</v>
      </c>
      <c r="C172" s="96">
        <v>662.2</v>
      </c>
      <c r="D172" s="96">
        <v>751.2</v>
      </c>
      <c r="E172" s="96">
        <v>477.9</v>
      </c>
      <c r="F172" s="96">
        <v>439.3</v>
      </c>
      <c r="G172" s="96">
        <v>477.9</v>
      </c>
      <c r="H172" s="168">
        <f t="shared" si="83"/>
        <v>1E-3</v>
      </c>
      <c r="I172" s="218">
        <f>G172/E172</f>
        <v>1</v>
      </c>
      <c r="J172" s="217">
        <f t="shared" si="84"/>
        <v>-273.3</v>
      </c>
      <c r="K172" s="218">
        <f t="shared" si="85"/>
        <v>0.63600000000000001</v>
      </c>
      <c r="L172" s="231">
        <f t="shared" si="86"/>
        <v>38.6</v>
      </c>
    </row>
    <row r="173" spans="1:12">
      <c r="A173" s="88"/>
      <c r="B173" s="89" t="s">
        <v>163</v>
      </c>
      <c r="C173" s="96">
        <v>72.599999999999994</v>
      </c>
      <c r="D173" s="96">
        <v>89.4</v>
      </c>
      <c r="E173" s="96">
        <v>16.8</v>
      </c>
      <c r="F173" s="96">
        <v>17.8</v>
      </c>
      <c r="G173" s="96">
        <v>16.8</v>
      </c>
      <c r="H173" s="168">
        <f t="shared" si="83"/>
        <v>0</v>
      </c>
      <c r="I173" s="218">
        <v>0</v>
      </c>
      <c r="J173" s="217">
        <f t="shared" si="84"/>
        <v>-72.599999999999994</v>
      </c>
      <c r="K173" s="218">
        <f t="shared" si="85"/>
        <v>0.188</v>
      </c>
      <c r="L173" s="231">
        <f t="shared" si="86"/>
        <v>-1</v>
      </c>
    </row>
    <row r="174" spans="1:12">
      <c r="A174" s="88"/>
      <c r="B174" s="89" t="s">
        <v>164</v>
      </c>
      <c r="C174" s="96">
        <v>323.2</v>
      </c>
      <c r="D174" s="96">
        <v>299</v>
      </c>
      <c r="E174" s="96">
        <v>82.9</v>
      </c>
      <c r="F174" s="96">
        <v>93.5</v>
      </c>
      <c r="G174" s="96">
        <v>82.9</v>
      </c>
      <c r="H174" s="168">
        <f t="shared" si="83"/>
        <v>0</v>
      </c>
      <c r="I174" s="218">
        <f t="shared" ref="I174:I183" si="87">G174/E174</f>
        <v>1</v>
      </c>
      <c r="J174" s="217">
        <f t="shared" si="84"/>
        <v>-216.1</v>
      </c>
      <c r="K174" s="218">
        <f t="shared" si="85"/>
        <v>0.27700000000000002</v>
      </c>
      <c r="L174" s="231">
        <f t="shared" si="86"/>
        <v>-10.6</v>
      </c>
    </row>
    <row r="175" spans="1:12" ht="13.5" hidden="1" customHeight="1">
      <c r="A175" s="15">
        <v>612</v>
      </c>
      <c r="B175" s="7" t="s">
        <v>98</v>
      </c>
      <c r="C175" s="90"/>
      <c r="D175" s="105"/>
      <c r="E175" s="105"/>
      <c r="F175" s="105"/>
      <c r="G175" s="105"/>
      <c r="H175" s="167">
        <f t="shared" si="83"/>
        <v>0</v>
      </c>
      <c r="I175" s="177" t="e">
        <f t="shared" si="87"/>
        <v>#DIV/0!</v>
      </c>
      <c r="J175" s="217">
        <f t="shared" si="84"/>
        <v>0</v>
      </c>
      <c r="K175" s="218" t="e">
        <f t="shared" si="85"/>
        <v>#DIV/0!</v>
      </c>
      <c r="L175" s="231" t="e">
        <f>G175-#REF!</f>
        <v>#REF!</v>
      </c>
    </row>
    <row r="176" spans="1:12" ht="13.5" hidden="1" customHeight="1">
      <c r="A176" s="135"/>
      <c r="B176" s="136" t="s">
        <v>27</v>
      </c>
      <c r="C176" s="91"/>
      <c r="D176" s="164"/>
      <c r="E176" s="164"/>
      <c r="F176" s="164"/>
      <c r="G176" s="164"/>
      <c r="H176" s="167"/>
      <c r="I176" s="177" t="e">
        <f t="shared" si="87"/>
        <v>#DIV/0!</v>
      </c>
      <c r="J176" s="217"/>
      <c r="K176" s="218"/>
      <c r="L176" s="231"/>
    </row>
    <row r="177" spans="1:12" ht="27" hidden="1" customHeight="1">
      <c r="A177" s="135"/>
      <c r="B177" s="136" t="s">
        <v>168</v>
      </c>
      <c r="C177" s="91"/>
      <c r="D177" s="164"/>
      <c r="E177" s="164"/>
      <c r="F177" s="164"/>
      <c r="G177" s="164"/>
      <c r="H177" s="167">
        <f t="shared" ref="H177:H183" si="88">G177/$G$219</f>
        <v>0</v>
      </c>
      <c r="I177" s="177" t="e">
        <f t="shared" si="87"/>
        <v>#DIV/0!</v>
      </c>
      <c r="J177" s="217">
        <f>G177-D177</f>
        <v>0</v>
      </c>
      <c r="K177" s="218" t="e">
        <f>G177/D177</f>
        <v>#DIV/0!</v>
      </c>
      <c r="L177" s="231" t="e">
        <f>G177-#REF!</f>
        <v>#REF!</v>
      </c>
    </row>
    <row r="178" spans="1:12" ht="54">
      <c r="A178" s="14" t="s">
        <v>203</v>
      </c>
      <c r="B178" s="7" t="s">
        <v>256</v>
      </c>
      <c r="C178" s="154">
        <v>1200</v>
      </c>
      <c r="D178" s="164">
        <v>1200</v>
      </c>
      <c r="E178" s="164">
        <v>1199.9000000000001</v>
      </c>
      <c r="F178" s="164">
        <v>1189.5999999999999</v>
      </c>
      <c r="G178" s="164">
        <v>1199.9000000000001</v>
      </c>
      <c r="H178" s="167">
        <f t="shared" si="88"/>
        <v>1E-3</v>
      </c>
      <c r="I178" s="218">
        <f t="shared" si="87"/>
        <v>1</v>
      </c>
      <c r="J178" s="217">
        <f>G178-D178</f>
        <v>-0.1</v>
      </c>
      <c r="K178" s="218">
        <f>G178/D178</f>
        <v>1</v>
      </c>
      <c r="L178" s="231">
        <f>G178-F178</f>
        <v>10.3</v>
      </c>
    </row>
    <row r="179" spans="1:12" s="23" customFormat="1">
      <c r="A179" s="69" t="s">
        <v>58</v>
      </c>
      <c r="B179" s="73" t="s">
        <v>100</v>
      </c>
      <c r="C179" s="153">
        <f>C180</f>
        <v>82740</v>
      </c>
      <c r="D179" s="153">
        <f t="shared" ref="D179:G179" si="89">D180</f>
        <v>84032.3</v>
      </c>
      <c r="E179" s="153">
        <f t="shared" si="89"/>
        <v>51320.1</v>
      </c>
      <c r="F179" s="153">
        <f t="shared" si="89"/>
        <v>45853.2</v>
      </c>
      <c r="G179" s="153">
        <f t="shared" si="89"/>
        <v>51320.1</v>
      </c>
      <c r="H179" s="71">
        <f t="shared" si="88"/>
        <v>0.06</v>
      </c>
      <c r="I179" s="177">
        <f t="shared" si="87"/>
        <v>1</v>
      </c>
      <c r="J179" s="178">
        <f>G179-D179</f>
        <v>-32712.2</v>
      </c>
      <c r="K179" s="177">
        <f>G179/D179</f>
        <v>0.61099999999999999</v>
      </c>
      <c r="L179" s="179">
        <f>G179-F179</f>
        <v>5466.9</v>
      </c>
    </row>
    <row r="180" spans="1:12" s="36" customFormat="1">
      <c r="A180" s="92" t="s">
        <v>60</v>
      </c>
      <c r="B180" s="93" t="s">
        <v>59</v>
      </c>
      <c r="C180" s="169">
        <f>C181+C183+C193</f>
        <v>82740</v>
      </c>
      <c r="D180" s="169">
        <f>D181+D183+D193</f>
        <v>84032.3</v>
      </c>
      <c r="E180" s="169">
        <f>E181+E183+E193</f>
        <v>51320.1</v>
      </c>
      <c r="F180" s="169">
        <f t="shared" ref="F180" si="90">F181+F183+F193</f>
        <v>45853.2</v>
      </c>
      <c r="G180" s="169">
        <f t="shared" ref="G180" si="91">G181+G183+G193</f>
        <v>51320.1</v>
      </c>
      <c r="H180" s="81">
        <f t="shared" si="88"/>
        <v>0.06</v>
      </c>
      <c r="I180" s="177">
        <f t="shared" si="87"/>
        <v>1</v>
      </c>
      <c r="J180" s="217">
        <f>G180-D180</f>
        <v>-32712.2</v>
      </c>
      <c r="K180" s="218">
        <f>G180/D180</f>
        <v>0.61099999999999999</v>
      </c>
      <c r="L180" s="231">
        <f>G180-F180</f>
        <v>5466.9</v>
      </c>
    </row>
    <row r="181" spans="1:12" ht="45" customHeight="1">
      <c r="A181" s="15">
        <v>611</v>
      </c>
      <c r="B181" s="7" t="s">
        <v>97</v>
      </c>
      <c r="C181" s="5">
        <v>54659.9</v>
      </c>
      <c r="D181" s="105">
        <v>54589.8</v>
      </c>
      <c r="E181" s="105">
        <v>29543.5</v>
      </c>
      <c r="F181" s="105">
        <v>23745</v>
      </c>
      <c r="G181" s="105">
        <v>29543.5</v>
      </c>
      <c r="H181" s="167">
        <f t="shared" si="88"/>
        <v>3.5000000000000003E-2</v>
      </c>
      <c r="I181" s="177">
        <f t="shared" si="87"/>
        <v>1</v>
      </c>
      <c r="J181" s="217">
        <f>G181-D181</f>
        <v>-25046.3</v>
      </c>
      <c r="K181" s="218">
        <f>G181/D181</f>
        <v>0.54100000000000004</v>
      </c>
      <c r="L181" s="231">
        <f>G181-F181</f>
        <v>5798.5</v>
      </c>
    </row>
    <row r="182" spans="1:12" ht="13.5" hidden="1" customHeight="1">
      <c r="A182" s="15"/>
      <c r="B182" s="8" t="s">
        <v>101</v>
      </c>
      <c r="C182" s="5"/>
      <c r="D182" s="105"/>
      <c r="E182" s="105"/>
      <c r="F182" s="105"/>
      <c r="G182" s="105"/>
      <c r="H182" s="167">
        <f t="shared" si="88"/>
        <v>0</v>
      </c>
      <c r="I182" s="177" t="e">
        <f t="shared" si="87"/>
        <v>#DIV/0!</v>
      </c>
      <c r="J182" s="217"/>
      <c r="K182" s="218"/>
      <c r="L182" s="231"/>
    </row>
    <row r="183" spans="1:12" ht="13.5" customHeight="1">
      <c r="A183" s="15">
        <v>612</v>
      </c>
      <c r="B183" s="8" t="s">
        <v>201</v>
      </c>
      <c r="C183" s="5">
        <v>26880.1</v>
      </c>
      <c r="D183" s="105">
        <v>27735.5</v>
      </c>
      <c r="E183" s="105">
        <f>20945.9+0.1</f>
        <v>20946</v>
      </c>
      <c r="F183" s="105">
        <v>20612.900000000001</v>
      </c>
      <c r="G183" s="105">
        <f>20945.9+0.1</f>
        <v>20946</v>
      </c>
      <c r="H183" s="167">
        <f t="shared" si="88"/>
        <v>2.5000000000000001E-2</v>
      </c>
      <c r="I183" s="177">
        <f t="shared" si="87"/>
        <v>1</v>
      </c>
      <c r="J183" s="217">
        <f>G183-D183</f>
        <v>-6789.5</v>
      </c>
      <c r="K183" s="218">
        <f>G183/D183</f>
        <v>0.755</v>
      </c>
      <c r="L183" s="231">
        <f>G183-F183</f>
        <v>333.1</v>
      </c>
    </row>
    <row r="184" spans="1:12">
      <c r="A184" s="94"/>
      <c r="B184" s="95" t="s">
        <v>183</v>
      </c>
      <c r="C184" s="95"/>
      <c r="D184" s="96"/>
      <c r="E184" s="96"/>
      <c r="F184" s="96"/>
      <c r="G184" s="96"/>
      <c r="H184" s="168"/>
      <c r="I184" s="218"/>
      <c r="J184" s="217"/>
      <c r="K184" s="218"/>
      <c r="L184" s="231"/>
    </row>
    <row r="185" spans="1:12">
      <c r="A185" s="94"/>
      <c r="B185" s="89" t="s">
        <v>99</v>
      </c>
      <c r="C185" s="90">
        <v>71878.5</v>
      </c>
      <c r="D185" s="96">
        <v>71411.100000000006</v>
      </c>
      <c r="E185" s="96">
        <v>44529.5</v>
      </c>
      <c r="F185" s="96">
        <v>38698.699999999997</v>
      </c>
      <c r="G185" s="96">
        <v>44529.5</v>
      </c>
      <c r="H185" s="168">
        <f t="shared" ref="H185:H190" si="92">G185/$G$219</f>
        <v>5.1999999999999998E-2</v>
      </c>
      <c r="I185" s="218">
        <f t="shared" ref="I185:I193" si="93">G185/E185</f>
        <v>1</v>
      </c>
      <c r="J185" s="217">
        <f t="shared" ref="J185:J190" si="94">G185-D185</f>
        <v>-26881.599999999999</v>
      </c>
      <c r="K185" s="218">
        <f t="shared" ref="K185:K190" si="95">G185/D185</f>
        <v>0.624</v>
      </c>
      <c r="L185" s="231">
        <f>G185-F185</f>
        <v>5830.8</v>
      </c>
    </row>
    <row r="186" spans="1:12">
      <c r="A186" s="94"/>
      <c r="B186" s="89" t="s">
        <v>166</v>
      </c>
      <c r="C186" s="90">
        <v>369.8</v>
      </c>
      <c r="D186" s="96">
        <v>369.8</v>
      </c>
      <c r="E186" s="96">
        <v>201</v>
      </c>
      <c r="F186" s="96">
        <v>194.6</v>
      </c>
      <c r="G186" s="96">
        <v>201</v>
      </c>
      <c r="H186" s="168">
        <f t="shared" si="92"/>
        <v>0</v>
      </c>
      <c r="I186" s="218">
        <f t="shared" si="93"/>
        <v>1</v>
      </c>
      <c r="J186" s="217">
        <f t="shared" si="94"/>
        <v>-168.8</v>
      </c>
      <c r="K186" s="218">
        <f t="shared" si="95"/>
        <v>0.54400000000000004</v>
      </c>
      <c r="L186" s="231">
        <f t="shared" ref="L186:L189" si="96">G186-F186</f>
        <v>6.4</v>
      </c>
    </row>
    <row r="187" spans="1:12">
      <c r="A187" s="88"/>
      <c r="B187" s="89" t="s">
        <v>102</v>
      </c>
      <c r="C187" s="90">
        <v>6851.2</v>
      </c>
      <c r="D187" s="96">
        <v>7511.5</v>
      </c>
      <c r="E187" s="96">
        <v>4385.8999999999996</v>
      </c>
      <c r="F187" s="96">
        <v>4437.8</v>
      </c>
      <c r="G187" s="96">
        <v>4385.8999999999996</v>
      </c>
      <c r="H187" s="168">
        <f t="shared" si="92"/>
        <v>5.0000000000000001E-3</v>
      </c>
      <c r="I187" s="218">
        <f t="shared" si="93"/>
        <v>1</v>
      </c>
      <c r="J187" s="217">
        <f t="shared" si="94"/>
        <v>-3125.6</v>
      </c>
      <c r="K187" s="218">
        <f t="shared" si="95"/>
        <v>0.58399999999999996</v>
      </c>
      <c r="L187" s="231">
        <f t="shared" si="96"/>
        <v>-51.9</v>
      </c>
    </row>
    <row r="188" spans="1:12">
      <c r="A188" s="88"/>
      <c r="B188" s="89" t="s">
        <v>163</v>
      </c>
      <c r="C188" s="90">
        <v>1056.5</v>
      </c>
      <c r="D188" s="96">
        <v>1056.5</v>
      </c>
      <c r="E188" s="96">
        <v>221.4</v>
      </c>
      <c r="F188" s="96">
        <v>193.8</v>
      </c>
      <c r="G188" s="96">
        <v>221.4</v>
      </c>
      <c r="H188" s="168">
        <f t="shared" si="92"/>
        <v>0</v>
      </c>
      <c r="I188" s="218">
        <f t="shared" si="93"/>
        <v>1</v>
      </c>
      <c r="J188" s="217">
        <f t="shared" si="94"/>
        <v>-835.1</v>
      </c>
      <c r="K188" s="218">
        <f t="shared" si="95"/>
        <v>0.21</v>
      </c>
      <c r="L188" s="231">
        <f t="shared" si="96"/>
        <v>27.6</v>
      </c>
    </row>
    <row r="189" spans="1:12">
      <c r="A189" s="88"/>
      <c r="B189" s="89" t="s">
        <v>167</v>
      </c>
      <c r="C189" s="90">
        <v>1384</v>
      </c>
      <c r="D189" s="96">
        <v>1976.4</v>
      </c>
      <c r="E189" s="96">
        <f>1151.6+0.1</f>
        <v>1151.7</v>
      </c>
      <c r="F189" s="96">
        <v>833</v>
      </c>
      <c r="G189" s="96">
        <f>1151.6+0.1</f>
        <v>1151.7</v>
      </c>
      <c r="H189" s="168">
        <f t="shared" si="92"/>
        <v>1E-3</v>
      </c>
      <c r="I189" s="218">
        <f t="shared" si="93"/>
        <v>1</v>
      </c>
      <c r="J189" s="217">
        <f t="shared" si="94"/>
        <v>-824.7</v>
      </c>
      <c r="K189" s="218">
        <f t="shared" si="95"/>
        <v>0.58299999999999996</v>
      </c>
      <c r="L189" s="231">
        <f t="shared" si="96"/>
        <v>318.7</v>
      </c>
    </row>
    <row r="190" spans="1:12" ht="13.5" hidden="1" customHeight="1">
      <c r="A190" s="15">
        <v>612</v>
      </c>
      <c r="B190" s="7" t="s">
        <v>98</v>
      </c>
      <c r="C190" s="5"/>
      <c r="D190" s="105"/>
      <c r="E190" s="105"/>
      <c r="F190" s="105"/>
      <c r="G190" s="105"/>
      <c r="H190" s="167">
        <f t="shared" si="92"/>
        <v>0</v>
      </c>
      <c r="I190" s="177" t="e">
        <f t="shared" si="93"/>
        <v>#DIV/0!</v>
      </c>
      <c r="J190" s="217">
        <f t="shared" si="94"/>
        <v>0</v>
      </c>
      <c r="K190" s="218" t="e">
        <f t="shared" si="95"/>
        <v>#DIV/0!</v>
      </c>
      <c r="L190" s="231" t="e">
        <f>G190-#REF!</f>
        <v>#REF!</v>
      </c>
    </row>
    <row r="191" spans="1:12" ht="13.5" hidden="1" customHeight="1">
      <c r="A191" s="135"/>
      <c r="B191" s="134" t="s">
        <v>27</v>
      </c>
      <c r="C191" s="90"/>
      <c r="D191" s="105"/>
      <c r="E191" s="105"/>
      <c r="F191" s="105"/>
      <c r="G191" s="105"/>
      <c r="H191" s="167"/>
      <c r="I191" s="177" t="e">
        <f t="shared" si="93"/>
        <v>#DIV/0!</v>
      </c>
      <c r="J191" s="217"/>
      <c r="K191" s="218"/>
      <c r="L191" s="231"/>
    </row>
    <row r="192" spans="1:12" ht="40.5" hidden="1" customHeight="1">
      <c r="A192" s="135"/>
      <c r="B192" s="134" t="s">
        <v>169</v>
      </c>
      <c r="C192" s="90"/>
      <c r="D192" s="105"/>
      <c r="E192" s="105"/>
      <c r="F192" s="105"/>
      <c r="G192" s="105"/>
      <c r="H192" s="167">
        <f t="shared" ref="H192:H201" si="97">G192/$G$219</f>
        <v>0</v>
      </c>
      <c r="I192" s="177" t="e">
        <f t="shared" si="93"/>
        <v>#DIV/0!</v>
      </c>
      <c r="J192" s="217">
        <f t="shared" ref="J192:J201" si="98">G192-D192</f>
        <v>0</v>
      </c>
      <c r="K192" s="218" t="e">
        <f>G192/D192</f>
        <v>#DIV/0!</v>
      </c>
      <c r="L192" s="231" t="e">
        <f>G192-#REF!</f>
        <v>#REF!</v>
      </c>
    </row>
    <row r="193" spans="1:12" ht="54">
      <c r="A193" s="14" t="s">
        <v>204</v>
      </c>
      <c r="B193" s="7" t="s">
        <v>257</v>
      </c>
      <c r="C193" s="154">
        <v>1200</v>
      </c>
      <c r="D193" s="164">
        <v>1707</v>
      </c>
      <c r="E193" s="164">
        <v>830.6</v>
      </c>
      <c r="F193" s="164">
        <v>1495.3</v>
      </c>
      <c r="G193" s="164">
        <v>830.6</v>
      </c>
      <c r="H193" s="167">
        <f t="shared" si="97"/>
        <v>1E-3</v>
      </c>
      <c r="I193" s="218">
        <f t="shared" si="93"/>
        <v>1</v>
      </c>
      <c r="J193" s="217">
        <f>G193-D193</f>
        <v>-876.4</v>
      </c>
      <c r="K193" s="218">
        <f>G193/D193</f>
        <v>0.48699999999999999</v>
      </c>
      <c r="L193" s="231">
        <f>G193-F193</f>
        <v>-664.7</v>
      </c>
    </row>
    <row r="194" spans="1:12" ht="13.5" hidden="1" customHeight="1">
      <c r="A194" s="88" t="s">
        <v>172</v>
      </c>
      <c r="B194" s="103" t="s">
        <v>173</v>
      </c>
      <c r="C194" s="91">
        <v>0</v>
      </c>
      <c r="D194" s="146">
        <v>0</v>
      </c>
      <c r="E194" s="146"/>
      <c r="F194" s="146">
        <v>0</v>
      </c>
      <c r="G194" s="146">
        <v>0</v>
      </c>
      <c r="H194" s="151">
        <f t="shared" si="97"/>
        <v>0</v>
      </c>
      <c r="I194" s="177" t="e">
        <f t="shared" ref="I194:I201" si="99">G194/E194</f>
        <v>#DIV/0!</v>
      </c>
      <c r="J194" s="217">
        <f t="shared" si="98"/>
        <v>0</v>
      </c>
      <c r="K194" s="218" t="e">
        <f>G194/D194</f>
        <v>#DIV/0!</v>
      </c>
      <c r="L194" s="231" t="e">
        <f>G194-#REF!</f>
        <v>#REF!</v>
      </c>
    </row>
    <row r="195" spans="1:12" s="23" customFormat="1">
      <c r="A195" s="69" t="s">
        <v>103</v>
      </c>
      <c r="B195" s="73" t="s">
        <v>104</v>
      </c>
      <c r="C195" s="176">
        <f>C196+C197</f>
        <v>539.70000000000005</v>
      </c>
      <c r="D195" s="176">
        <f>D196+D197</f>
        <v>539.79999999999995</v>
      </c>
      <c r="E195" s="176">
        <f t="shared" ref="E195:G195" si="100">E196+E197</f>
        <v>398.2</v>
      </c>
      <c r="F195" s="176">
        <f t="shared" si="100"/>
        <v>396.2</v>
      </c>
      <c r="G195" s="176">
        <f t="shared" si="100"/>
        <v>398.2</v>
      </c>
      <c r="H195" s="177">
        <f t="shared" si="97"/>
        <v>0</v>
      </c>
      <c r="I195" s="177">
        <f t="shared" si="99"/>
        <v>1</v>
      </c>
      <c r="J195" s="178">
        <f t="shared" si="98"/>
        <v>-141.6</v>
      </c>
      <c r="K195" s="177">
        <f>G195/D195</f>
        <v>0.73799999999999999</v>
      </c>
      <c r="L195" s="179">
        <f t="shared" ref="L195:L201" si="101">G195-F195</f>
        <v>2</v>
      </c>
    </row>
    <row r="196" spans="1:12" s="36" customFormat="1">
      <c r="A196" s="14" t="s">
        <v>61</v>
      </c>
      <c r="B196" s="17" t="s">
        <v>62</v>
      </c>
      <c r="C196" s="155">
        <v>539.70000000000005</v>
      </c>
      <c r="D196" s="155">
        <v>539.70000000000005</v>
      </c>
      <c r="E196" s="155">
        <v>398.1</v>
      </c>
      <c r="F196" s="155">
        <v>396.2</v>
      </c>
      <c r="G196" s="155">
        <v>398.1</v>
      </c>
      <c r="H196" s="175">
        <f t="shared" si="97"/>
        <v>0</v>
      </c>
      <c r="I196" s="177">
        <f t="shared" si="99"/>
        <v>1</v>
      </c>
      <c r="J196" s="217">
        <f t="shared" si="98"/>
        <v>-141.6</v>
      </c>
      <c r="K196" s="218">
        <f>G196/D196</f>
        <v>0.73799999999999999</v>
      </c>
      <c r="L196" s="231">
        <f t="shared" si="101"/>
        <v>1.9</v>
      </c>
    </row>
    <row r="197" spans="1:12" s="36" customFormat="1" ht="13.5" customHeight="1">
      <c r="A197" s="14" t="s">
        <v>259</v>
      </c>
      <c r="B197" s="17" t="s">
        <v>260</v>
      </c>
      <c r="C197" s="155">
        <v>0</v>
      </c>
      <c r="D197" s="155">
        <v>0.1</v>
      </c>
      <c r="E197" s="155">
        <v>0.1</v>
      </c>
      <c r="F197" s="155">
        <v>0</v>
      </c>
      <c r="G197" s="155">
        <v>0.1</v>
      </c>
      <c r="H197" s="175">
        <f t="shared" si="97"/>
        <v>0</v>
      </c>
      <c r="I197" s="177">
        <f t="shared" si="99"/>
        <v>1</v>
      </c>
      <c r="J197" s="217">
        <f t="shared" si="98"/>
        <v>0</v>
      </c>
      <c r="K197" s="218">
        <v>0</v>
      </c>
      <c r="L197" s="231">
        <f t="shared" si="101"/>
        <v>0.1</v>
      </c>
    </row>
    <row r="198" spans="1:12" s="23" customFormat="1">
      <c r="A198" s="69" t="s">
        <v>105</v>
      </c>
      <c r="B198" s="73" t="s">
        <v>49</v>
      </c>
      <c r="C198" s="72">
        <f>C199+C213</f>
        <v>20563.7</v>
      </c>
      <c r="D198" s="72">
        <f>D199+D213</f>
        <v>24503.8</v>
      </c>
      <c r="E198" s="72">
        <f>E199+E213</f>
        <v>10548.6</v>
      </c>
      <c r="F198" s="72">
        <f>F199+F213</f>
        <v>8527.4</v>
      </c>
      <c r="G198" s="72">
        <f>G199+G213</f>
        <v>10548.6</v>
      </c>
      <c r="H198" s="71">
        <f t="shared" si="97"/>
        <v>1.2E-2</v>
      </c>
      <c r="I198" s="177">
        <f t="shared" si="99"/>
        <v>1</v>
      </c>
      <c r="J198" s="178">
        <f t="shared" si="98"/>
        <v>-13955.2</v>
      </c>
      <c r="K198" s="177">
        <f>G198/D198</f>
        <v>0.43</v>
      </c>
      <c r="L198" s="179">
        <f t="shared" si="101"/>
        <v>2021.2</v>
      </c>
    </row>
    <row r="199" spans="1:12" s="36" customFormat="1">
      <c r="A199" s="92" t="s">
        <v>74</v>
      </c>
      <c r="B199" s="140" t="s">
        <v>193</v>
      </c>
      <c r="C199" s="170">
        <f>C200+C201+C211+C212</f>
        <v>20263.7</v>
      </c>
      <c r="D199" s="170">
        <f>D200+D201+D211+D212</f>
        <v>24218.799999999999</v>
      </c>
      <c r="E199" s="170">
        <f>E200+E201+E211+E212</f>
        <v>10409.9</v>
      </c>
      <c r="F199" s="170">
        <f t="shared" ref="F199:G199" si="102">F200+F201+F211+F212</f>
        <v>8527.4</v>
      </c>
      <c r="G199" s="170">
        <f t="shared" si="102"/>
        <v>10409.9</v>
      </c>
      <c r="H199" s="81">
        <f t="shared" si="97"/>
        <v>1.2E-2</v>
      </c>
      <c r="I199" s="177">
        <f t="shared" si="99"/>
        <v>1</v>
      </c>
      <c r="J199" s="217">
        <f t="shared" si="98"/>
        <v>-13808.9</v>
      </c>
      <c r="K199" s="218">
        <f>G199/D199</f>
        <v>0.43</v>
      </c>
      <c r="L199" s="179">
        <f t="shared" si="101"/>
        <v>1882.5</v>
      </c>
    </row>
    <row r="200" spans="1:12" ht="40.5">
      <c r="A200" s="15">
        <v>611</v>
      </c>
      <c r="B200" s="7" t="s">
        <v>97</v>
      </c>
      <c r="C200" s="5">
        <v>15925.6</v>
      </c>
      <c r="D200" s="105">
        <v>15606.4</v>
      </c>
      <c r="E200" s="105">
        <v>7137.3</v>
      </c>
      <c r="F200" s="105">
        <v>6199.7</v>
      </c>
      <c r="G200" s="105">
        <v>7137.3</v>
      </c>
      <c r="H200" s="167">
        <f t="shared" si="97"/>
        <v>8.0000000000000002E-3</v>
      </c>
      <c r="I200" s="218">
        <f t="shared" si="99"/>
        <v>1</v>
      </c>
      <c r="J200" s="217">
        <f t="shared" si="98"/>
        <v>-8469.1</v>
      </c>
      <c r="K200" s="218">
        <f>G200/D200</f>
        <v>0.45700000000000002</v>
      </c>
      <c r="L200" s="231">
        <f t="shared" si="101"/>
        <v>937.6</v>
      </c>
    </row>
    <row r="201" spans="1:12">
      <c r="A201" s="15" t="s">
        <v>255</v>
      </c>
      <c r="B201" s="7" t="s">
        <v>98</v>
      </c>
      <c r="C201" s="5">
        <v>2538.1</v>
      </c>
      <c r="D201" s="105">
        <f>3032.3+350</f>
        <v>3382.3</v>
      </c>
      <c r="E201" s="105">
        <f>1915.2+350</f>
        <v>2265.1999999999998</v>
      </c>
      <c r="F201" s="105">
        <v>1050.9000000000001</v>
      </c>
      <c r="G201" s="105">
        <f>1915.2+350</f>
        <v>2265.1999999999998</v>
      </c>
      <c r="H201" s="167">
        <f t="shared" si="97"/>
        <v>3.0000000000000001E-3</v>
      </c>
      <c r="I201" s="218">
        <f t="shared" si="99"/>
        <v>1</v>
      </c>
      <c r="J201" s="217">
        <f t="shared" si="98"/>
        <v>-1117.0999999999999</v>
      </c>
      <c r="K201" s="218">
        <f>G201/D201</f>
        <v>0.67</v>
      </c>
      <c r="L201" s="231">
        <f t="shared" si="101"/>
        <v>1214.3</v>
      </c>
    </row>
    <row r="202" spans="1:12">
      <c r="A202" s="94"/>
      <c r="B202" s="95" t="s">
        <v>183</v>
      </c>
      <c r="C202" s="95"/>
      <c r="D202" s="96"/>
      <c r="E202" s="96"/>
      <c r="F202" s="96"/>
      <c r="G202" s="96"/>
      <c r="H202" s="168"/>
      <c r="I202" s="218"/>
      <c r="J202" s="217"/>
      <c r="K202" s="218"/>
      <c r="L202" s="231"/>
    </row>
    <row r="203" spans="1:12">
      <c r="A203" s="94"/>
      <c r="B203" s="89" t="s">
        <v>99</v>
      </c>
      <c r="C203" s="90">
        <v>13427.9</v>
      </c>
      <c r="D203" s="96">
        <v>13323.9</v>
      </c>
      <c r="E203" s="96">
        <v>6750</v>
      </c>
      <c r="F203" s="96">
        <v>5962.1</v>
      </c>
      <c r="G203" s="96">
        <v>6750</v>
      </c>
      <c r="H203" s="168">
        <f t="shared" ref="H203:H208" si="103">G203/$G$219</f>
        <v>8.0000000000000002E-3</v>
      </c>
      <c r="I203" s="218">
        <f>G203/E203</f>
        <v>1</v>
      </c>
      <c r="J203" s="217">
        <f t="shared" ref="J203:J208" si="104">G203-D203</f>
        <v>-6573.9</v>
      </c>
      <c r="K203" s="218">
        <f t="shared" ref="K203:K208" si="105">G203/D203</f>
        <v>0.50700000000000001</v>
      </c>
      <c r="L203" s="231">
        <f>G203-F203</f>
        <v>787.9</v>
      </c>
    </row>
    <row r="204" spans="1:12">
      <c r="A204" s="94"/>
      <c r="B204" s="89" t="s">
        <v>166</v>
      </c>
      <c r="C204" s="90">
        <v>36.6</v>
      </c>
      <c r="D204" s="96">
        <v>36.6</v>
      </c>
      <c r="E204" s="96">
        <v>18.2</v>
      </c>
      <c r="F204" s="96">
        <v>19.600000000000001</v>
      </c>
      <c r="G204" s="96">
        <v>18.2</v>
      </c>
      <c r="H204" s="168">
        <f t="shared" si="103"/>
        <v>0</v>
      </c>
      <c r="I204" s="218">
        <f>G204/E204</f>
        <v>1</v>
      </c>
      <c r="J204" s="217">
        <f t="shared" si="104"/>
        <v>-18.399999999999999</v>
      </c>
      <c r="K204" s="218">
        <f t="shared" si="105"/>
        <v>0.497</v>
      </c>
      <c r="L204" s="231">
        <f t="shared" ref="L204:L207" si="106">G204-F204</f>
        <v>-1.4</v>
      </c>
    </row>
    <row r="205" spans="1:12">
      <c r="A205" s="88"/>
      <c r="B205" s="89" t="s">
        <v>102</v>
      </c>
      <c r="C205" s="90">
        <v>4673.6000000000004</v>
      </c>
      <c r="D205" s="96">
        <v>4673.6000000000004</v>
      </c>
      <c r="E205" s="96">
        <v>2169.6999999999998</v>
      </c>
      <c r="F205" s="96">
        <v>1111.8</v>
      </c>
      <c r="G205" s="96">
        <v>2169.6999999999998</v>
      </c>
      <c r="H205" s="168">
        <f t="shared" si="103"/>
        <v>3.0000000000000001E-3</v>
      </c>
      <c r="I205" s="218">
        <f>G205/E205</f>
        <v>1</v>
      </c>
      <c r="J205" s="217">
        <f t="shared" si="104"/>
        <v>-2503.9</v>
      </c>
      <c r="K205" s="218">
        <f t="shared" si="105"/>
        <v>0.46400000000000002</v>
      </c>
      <c r="L205" s="231">
        <f t="shared" si="106"/>
        <v>1057.9000000000001</v>
      </c>
    </row>
    <row r="206" spans="1:12">
      <c r="A206" s="88"/>
      <c r="B206" s="89" t="s">
        <v>163</v>
      </c>
      <c r="C206" s="90">
        <v>182</v>
      </c>
      <c r="D206" s="96">
        <v>224.3</v>
      </c>
      <c r="E206" s="96">
        <v>42.3</v>
      </c>
      <c r="F206" s="96">
        <v>27.5</v>
      </c>
      <c r="G206" s="96">
        <v>42.3</v>
      </c>
      <c r="H206" s="168">
        <f t="shared" si="103"/>
        <v>0</v>
      </c>
      <c r="I206" s="218">
        <v>0</v>
      </c>
      <c r="J206" s="217">
        <f t="shared" si="104"/>
        <v>-182</v>
      </c>
      <c r="K206" s="218">
        <f t="shared" si="105"/>
        <v>0.189</v>
      </c>
      <c r="L206" s="231">
        <f t="shared" si="106"/>
        <v>14.8</v>
      </c>
    </row>
    <row r="207" spans="1:12">
      <c r="A207" s="88"/>
      <c r="B207" s="89" t="s">
        <v>164</v>
      </c>
      <c r="C207" s="90">
        <v>143.6</v>
      </c>
      <c r="D207" s="96">
        <v>730.3</v>
      </c>
      <c r="E207" s="96">
        <v>422.3</v>
      </c>
      <c r="F207" s="96">
        <v>129.6</v>
      </c>
      <c r="G207" s="96">
        <v>422.3</v>
      </c>
      <c r="H207" s="168">
        <f t="shared" si="103"/>
        <v>0</v>
      </c>
      <c r="I207" s="218">
        <f t="shared" ref="I207:I219" si="107">G207/E207</f>
        <v>1</v>
      </c>
      <c r="J207" s="217">
        <f t="shared" si="104"/>
        <v>-308</v>
      </c>
      <c r="K207" s="218">
        <f t="shared" si="105"/>
        <v>0.57799999999999996</v>
      </c>
      <c r="L207" s="231">
        <f t="shared" si="106"/>
        <v>292.7</v>
      </c>
    </row>
    <row r="208" spans="1:12" ht="13.5" hidden="1" customHeight="1">
      <c r="A208" s="15"/>
      <c r="B208" s="7" t="s">
        <v>98</v>
      </c>
      <c r="C208" s="90"/>
      <c r="D208" s="147"/>
      <c r="E208" s="147"/>
      <c r="F208" s="147"/>
      <c r="G208" s="147"/>
      <c r="H208" s="151">
        <f t="shared" si="103"/>
        <v>0</v>
      </c>
      <c r="I208" s="177" t="e">
        <f t="shared" si="107"/>
        <v>#DIV/0!</v>
      </c>
      <c r="J208" s="217">
        <f t="shared" si="104"/>
        <v>0</v>
      </c>
      <c r="K208" s="218" t="e">
        <f t="shared" si="105"/>
        <v>#DIV/0!</v>
      </c>
      <c r="L208" s="231" t="e">
        <f>G208-#REF!</f>
        <v>#REF!</v>
      </c>
    </row>
    <row r="209" spans="1:12" ht="13.5" hidden="1" customHeight="1">
      <c r="A209" s="135"/>
      <c r="B209" s="134" t="s">
        <v>27</v>
      </c>
      <c r="C209" s="90"/>
      <c r="D209" s="147"/>
      <c r="E209" s="147"/>
      <c r="F209" s="147"/>
      <c r="G209" s="147"/>
      <c r="H209" s="151"/>
      <c r="I209" s="177" t="e">
        <f t="shared" si="107"/>
        <v>#DIV/0!</v>
      </c>
      <c r="J209" s="217"/>
      <c r="K209" s="218"/>
      <c r="L209" s="231"/>
    </row>
    <row r="210" spans="1:12" ht="27" hidden="1" customHeight="1">
      <c r="A210" s="135"/>
      <c r="B210" s="134" t="s">
        <v>168</v>
      </c>
      <c r="C210" s="90"/>
      <c r="D210" s="147"/>
      <c r="E210" s="147"/>
      <c r="F210" s="147"/>
      <c r="G210" s="147"/>
      <c r="H210" s="151">
        <f t="shared" ref="H210:H219" si="108">G210/$G$219</f>
        <v>0</v>
      </c>
      <c r="I210" s="177" t="e">
        <f t="shared" si="107"/>
        <v>#DIV/0!</v>
      </c>
      <c r="J210" s="217">
        <f t="shared" ref="J210:J218" si="109">G210-D210</f>
        <v>0</v>
      </c>
      <c r="K210" s="218" t="e">
        <f t="shared" ref="K210:K219" si="110">G210/D210</f>
        <v>#DIV/0!</v>
      </c>
      <c r="L210" s="231" t="e">
        <f>G210-#REF!</f>
        <v>#REF!</v>
      </c>
    </row>
    <row r="211" spans="1:12" ht="67.5">
      <c r="A211" s="190" t="s">
        <v>205</v>
      </c>
      <c r="B211" s="134" t="s">
        <v>258</v>
      </c>
      <c r="C211" s="154">
        <v>1800</v>
      </c>
      <c r="D211" s="164">
        <v>1815</v>
      </c>
      <c r="E211" s="164">
        <v>891.6</v>
      </c>
      <c r="F211" s="164">
        <v>1276.8</v>
      </c>
      <c r="G211" s="164">
        <v>891.6</v>
      </c>
      <c r="H211" s="167">
        <f t="shared" si="108"/>
        <v>1E-3</v>
      </c>
      <c r="I211" s="177">
        <f t="shared" si="107"/>
        <v>1</v>
      </c>
      <c r="J211" s="217">
        <f t="shared" si="109"/>
        <v>-923.4</v>
      </c>
      <c r="K211" s="218">
        <f t="shared" si="110"/>
        <v>0.49099999999999999</v>
      </c>
      <c r="L211" s="231">
        <f t="shared" ref="L211:L219" si="111">G211-F211</f>
        <v>-385.2</v>
      </c>
    </row>
    <row r="212" spans="1:12" ht="54">
      <c r="A212" s="14" t="s">
        <v>203</v>
      </c>
      <c r="B212" s="7" t="s">
        <v>256</v>
      </c>
      <c r="C212" s="154">
        <v>0</v>
      </c>
      <c r="D212" s="164">
        <v>3415.1</v>
      </c>
      <c r="E212" s="164">
        <v>115.8</v>
      </c>
      <c r="F212" s="164">
        <v>0</v>
      </c>
      <c r="G212" s="164">
        <v>115.8</v>
      </c>
      <c r="H212" s="167">
        <f t="shared" si="108"/>
        <v>0</v>
      </c>
      <c r="I212" s="177">
        <v>0</v>
      </c>
      <c r="J212" s="217">
        <f t="shared" si="109"/>
        <v>-3299.3</v>
      </c>
      <c r="K212" s="218">
        <f t="shared" si="110"/>
        <v>3.4000000000000002E-2</v>
      </c>
      <c r="L212" s="231">
        <f t="shared" si="111"/>
        <v>115.8</v>
      </c>
    </row>
    <row r="213" spans="1:12" ht="27">
      <c r="A213" s="69" t="s">
        <v>253</v>
      </c>
      <c r="B213" s="73" t="s">
        <v>254</v>
      </c>
      <c r="C213" s="72">
        <f>C214</f>
        <v>300</v>
      </c>
      <c r="D213" s="72">
        <f>D214</f>
        <v>285</v>
      </c>
      <c r="E213" s="72">
        <f>E214</f>
        <v>138.69999999999999</v>
      </c>
      <c r="F213" s="72">
        <f>F214</f>
        <v>0</v>
      </c>
      <c r="G213" s="72">
        <f>G214</f>
        <v>138.69999999999999</v>
      </c>
      <c r="H213" s="71">
        <f t="shared" si="108"/>
        <v>0</v>
      </c>
      <c r="I213" s="177">
        <f t="shared" ref="I213" si="112">G213/E213</f>
        <v>1</v>
      </c>
      <c r="J213" s="178">
        <f t="shared" si="109"/>
        <v>-146.30000000000001</v>
      </c>
      <c r="K213" s="177">
        <f>G213/D213</f>
        <v>0.48699999999999999</v>
      </c>
      <c r="L213" s="179">
        <f>G213-F213</f>
        <v>138.69999999999999</v>
      </c>
    </row>
    <row r="214" spans="1:12" ht="67.5">
      <c r="A214" s="190"/>
      <c r="B214" s="134" t="s">
        <v>258</v>
      </c>
      <c r="C214" s="154">
        <v>300</v>
      </c>
      <c r="D214" s="164">
        <v>285</v>
      </c>
      <c r="E214" s="164">
        <v>138.69999999999999</v>
      </c>
      <c r="F214" s="164">
        <v>0</v>
      </c>
      <c r="G214" s="164">
        <v>138.69999999999999</v>
      </c>
      <c r="H214" s="167">
        <f t="shared" ref="H214" si="113">G214/$G$219</f>
        <v>0</v>
      </c>
      <c r="I214" s="177">
        <f t="shared" si="107"/>
        <v>1</v>
      </c>
      <c r="J214" s="217">
        <f t="shared" ref="J214" si="114">G214-D214</f>
        <v>-146.30000000000001</v>
      </c>
      <c r="K214" s="218">
        <f t="shared" ref="K214" si="115">G214/D214</f>
        <v>0.48699999999999999</v>
      </c>
      <c r="L214" s="231">
        <f t="shared" ref="L214" si="116">G214-F214</f>
        <v>138.69999999999999</v>
      </c>
    </row>
    <row r="215" spans="1:12" s="23" customFormat="1" ht="27">
      <c r="A215" s="76">
        <v>1300</v>
      </c>
      <c r="B215" s="73" t="s">
        <v>106</v>
      </c>
      <c r="C215" s="179">
        <f>C216</f>
        <v>19091.7</v>
      </c>
      <c r="D215" s="179">
        <f>D216</f>
        <v>19091.7</v>
      </c>
      <c r="E215" s="179">
        <f>E216</f>
        <v>13680.8</v>
      </c>
      <c r="F215" s="179">
        <f>F216</f>
        <v>11284.2</v>
      </c>
      <c r="G215" s="179">
        <f>G216</f>
        <v>13680.8</v>
      </c>
      <c r="H215" s="177">
        <f t="shared" si="108"/>
        <v>1.6E-2</v>
      </c>
      <c r="I215" s="177">
        <f t="shared" si="107"/>
        <v>1</v>
      </c>
      <c r="J215" s="178">
        <f t="shared" si="109"/>
        <v>-5410.9</v>
      </c>
      <c r="K215" s="177">
        <f t="shared" si="110"/>
        <v>0.71699999999999997</v>
      </c>
      <c r="L215" s="179">
        <f t="shared" si="111"/>
        <v>2396.6</v>
      </c>
    </row>
    <row r="216" spans="1:12" s="36" customFormat="1" ht="27">
      <c r="A216" s="14" t="s">
        <v>72</v>
      </c>
      <c r="B216" s="31" t="s">
        <v>107</v>
      </c>
      <c r="C216" s="155">
        <v>19091.7</v>
      </c>
      <c r="D216" s="155">
        <v>19091.7</v>
      </c>
      <c r="E216" s="155">
        <v>13680.8</v>
      </c>
      <c r="F216" s="163">
        <v>11284.2</v>
      </c>
      <c r="G216" s="163">
        <v>13680.8</v>
      </c>
      <c r="H216" s="167">
        <f t="shared" si="108"/>
        <v>1.6E-2</v>
      </c>
      <c r="I216" s="177">
        <f t="shared" si="107"/>
        <v>1</v>
      </c>
      <c r="J216" s="217">
        <f t="shared" si="109"/>
        <v>-5410.9</v>
      </c>
      <c r="K216" s="218">
        <f t="shared" si="110"/>
        <v>0.71699999999999997</v>
      </c>
      <c r="L216" s="231">
        <f t="shared" si="111"/>
        <v>2396.6</v>
      </c>
    </row>
    <row r="217" spans="1:12" s="23" customFormat="1" ht="40.5">
      <c r="A217" s="76">
        <v>1400</v>
      </c>
      <c r="B217" s="73" t="s">
        <v>148</v>
      </c>
      <c r="C217" s="179">
        <f>C218</f>
        <v>120000</v>
      </c>
      <c r="D217" s="179">
        <f>D218</f>
        <v>150000</v>
      </c>
      <c r="E217" s="179">
        <f>E218</f>
        <v>70400</v>
      </c>
      <c r="F217" s="72">
        <f>F218</f>
        <v>72000</v>
      </c>
      <c r="G217" s="72">
        <f>G218</f>
        <v>70400</v>
      </c>
      <c r="H217" s="71">
        <f t="shared" si="108"/>
        <v>8.3000000000000004E-2</v>
      </c>
      <c r="I217" s="177">
        <f t="shared" si="107"/>
        <v>1</v>
      </c>
      <c r="J217" s="178">
        <f t="shared" si="109"/>
        <v>-79600</v>
      </c>
      <c r="K217" s="177">
        <f t="shared" si="110"/>
        <v>0.46899999999999997</v>
      </c>
      <c r="L217" s="179">
        <f t="shared" si="111"/>
        <v>-1600</v>
      </c>
    </row>
    <row r="218" spans="1:12" s="36" customFormat="1">
      <c r="A218" s="14" t="s">
        <v>147</v>
      </c>
      <c r="B218" s="31" t="s">
        <v>149</v>
      </c>
      <c r="C218" s="155">
        <v>120000</v>
      </c>
      <c r="D218" s="155">
        <v>150000</v>
      </c>
      <c r="E218" s="155">
        <v>70400</v>
      </c>
      <c r="F218" s="163">
        <v>72000</v>
      </c>
      <c r="G218" s="163">
        <v>70400</v>
      </c>
      <c r="H218" s="167">
        <f t="shared" si="108"/>
        <v>8.3000000000000004E-2</v>
      </c>
      <c r="I218" s="177">
        <f t="shared" si="107"/>
        <v>1</v>
      </c>
      <c r="J218" s="217">
        <f t="shared" si="109"/>
        <v>-79600</v>
      </c>
      <c r="K218" s="218">
        <f t="shared" si="110"/>
        <v>0.46899999999999997</v>
      </c>
      <c r="L218" s="231">
        <f t="shared" si="111"/>
        <v>-1600</v>
      </c>
    </row>
    <row r="219" spans="1:12" s="23" customFormat="1" ht="16.5">
      <c r="A219" s="69"/>
      <c r="B219" s="77" t="s">
        <v>54</v>
      </c>
      <c r="C219" s="179">
        <f>C64+C79+C86+C117+C165+C179+C195+C198+C215+C217</f>
        <v>689100.1</v>
      </c>
      <c r="D219" s="179">
        <f>D64+D79+D86+D117+D165+D179+D195+D198+D215+D217</f>
        <v>1435492.8</v>
      </c>
      <c r="E219" s="179">
        <f>E64+E79+E86+E117+E165+E179+E195+E198+E215+E217</f>
        <v>850750.9</v>
      </c>
      <c r="F219" s="179">
        <f>F64+F79+F86+F117+F165+F179+F195+F198+F215+F217</f>
        <v>946497.7</v>
      </c>
      <c r="G219" s="179">
        <f>G64+G79+G86+G117+G165+G179+G195+G198+G215+G217</f>
        <v>850750.9</v>
      </c>
      <c r="H219" s="71">
        <f t="shared" si="108"/>
        <v>1</v>
      </c>
      <c r="I219" s="177">
        <f t="shared" si="107"/>
        <v>1</v>
      </c>
      <c r="J219" s="179">
        <f>J64+J79+J86+J117+J165+J179+J195+J198+J215</f>
        <v>-505141.9</v>
      </c>
      <c r="K219" s="177">
        <f t="shared" si="110"/>
        <v>0.59299999999999997</v>
      </c>
      <c r="L219" s="179">
        <f t="shared" si="111"/>
        <v>-95746.8</v>
      </c>
    </row>
    <row r="220" spans="1:12" s="1" customFormat="1" ht="22.5" customHeight="1">
      <c r="A220" s="28"/>
      <c r="B220" s="62"/>
      <c r="C220" s="202"/>
      <c r="D220" s="172"/>
      <c r="E220" s="172"/>
      <c r="F220" s="200"/>
      <c r="G220" s="191"/>
      <c r="H220" s="180"/>
      <c r="I220" s="235"/>
      <c r="J220" s="236"/>
      <c r="K220" s="235"/>
      <c r="L220" s="237"/>
    </row>
    <row r="221" spans="1:12" ht="21.75" customHeight="1">
      <c r="A221" s="243"/>
      <c r="B221" s="244" t="s">
        <v>63</v>
      </c>
      <c r="C221" s="266">
        <f>C61-C219</f>
        <v>0</v>
      </c>
      <c r="D221" s="268">
        <f>D61-D219</f>
        <v>-7672.2</v>
      </c>
      <c r="E221" s="268">
        <f>E61-E219</f>
        <v>-1092</v>
      </c>
      <c r="F221" s="268">
        <f>F61-F219</f>
        <v>-57544.2</v>
      </c>
      <c r="G221" s="268">
        <f>G61-G219</f>
        <v>-1754.6</v>
      </c>
      <c r="H221" s="256">
        <f>G221/G221</f>
        <v>1</v>
      </c>
      <c r="I221" s="260">
        <f>G221/E221</f>
        <v>1.607</v>
      </c>
      <c r="J221" s="258">
        <f>G221-D221</f>
        <v>5917.6</v>
      </c>
      <c r="K221" s="260">
        <f>G221/D221</f>
        <v>0.22900000000000001</v>
      </c>
      <c r="L221" s="263">
        <f>G221-F221</f>
        <v>55789.599999999999</v>
      </c>
    </row>
    <row r="222" spans="1:12" ht="18.75" customHeight="1">
      <c r="A222" s="243"/>
      <c r="B222" s="244" t="s">
        <v>64</v>
      </c>
      <c r="C222" s="267"/>
      <c r="D222" s="269"/>
      <c r="E222" s="269"/>
      <c r="F222" s="269"/>
      <c r="G222" s="269"/>
      <c r="H222" s="257"/>
      <c r="I222" s="261"/>
      <c r="J222" s="259"/>
      <c r="K222" s="261"/>
      <c r="L222" s="264"/>
    </row>
    <row r="223" spans="1:12" ht="30" customHeight="1">
      <c r="A223" s="243"/>
      <c r="B223" s="244" t="s">
        <v>65</v>
      </c>
      <c r="C223" s="245">
        <f>C224+C227</f>
        <v>0</v>
      </c>
      <c r="D223" s="116">
        <f>D224+D227</f>
        <v>7672.2</v>
      </c>
      <c r="E223" s="116">
        <f>E224+E227</f>
        <v>1092</v>
      </c>
      <c r="F223" s="116">
        <f>F224+F227</f>
        <v>57544.2</v>
      </c>
      <c r="G223" s="116">
        <f>G224+G227</f>
        <v>1754.6</v>
      </c>
      <c r="H223" s="188">
        <f>G223/G223</f>
        <v>1</v>
      </c>
      <c r="I223" s="238">
        <f>G223/E223</f>
        <v>1.607</v>
      </c>
      <c r="J223" s="178">
        <f t="shared" ref="J223:J229" si="117">G223-D223</f>
        <v>-5917.6</v>
      </c>
      <c r="K223" s="177">
        <f>G223/D223</f>
        <v>0.22900000000000001</v>
      </c>
      <c r="L223" s="179">
        <f>G223-F223</f>
        <v>-55789.599999999999</v>
      </c>
    </row>
    <row r="224" spans="1:12" ht="27">
      <c r="A224" s="246" t="s">
        <v>81</v>
      </c>
      <c r="B224" s="247" t="s">
        <v>82</v>
      </c>
      <c r="C224" s="240">
        <f>C225+C226</f>
        <v>0</v>
      </c>
      <c r="D224" s="117">
        <v>0</v>
      </c>
      <c r="E224" s="117">
        <f>E225+E226</f>
        <v>0</v>
      </c>
      <c r="F224" s="117">
        <f>F225+F226</f>
        <v>60000</v>
      </c>
      <c r="G224" s="117">
        <f>G225+G226</f>
        <v>0</v>
      </c>
      <c r="H224" s="188">
        <v>0</v>
      </c>
      <c r="I224" s="238">
        <v>0</v>
      </c>
      <c r="J224" s="179">
        <v>0</v>
      </c>
      <c r="K224" s="177">
        <v>0</v>
      </c>
      <c r="L224" s="179">
        <f>G224-F224</f>
        <v>-60000</v>
      </c>
    </row>
    <row r="225" spans="1:12" s="36" customFormat="1" ht="27">
      <c r="A225" s="248" t="s">
        <v>77</v>
      </c>
      <c r="B225" s="249" t="s">
        <v>78</v>
      </c>
      <c r="C225" s="102">
        <v>138500</v>
      </c>
      <c r="D225" s="102">
        <v>138500</v>
      </c>
      <c r="E225" s="102">
        <v>-118500</v>
      </c>
      <c r="F225" s="102">
        <v>80000</v>
      </c>
      <c r="G225" s="102">
        <v>-118500</v>
      </c>
      <c r="H225" s="242">
        <f>G225/G223</f>
        <v>-67.537000000000006</v>
      </c>
      <c r="I225" s="239">
        <f t="shared" ref="I225:I229" si="118">G225/E225</f>
        <v>1</v>
      </c>
      <c r="J225" s="227">
        <f t="shared" si="117"/>
        <v>-257000</v>
      </c>
      <c r="K225" s="232">
        <f>G225/D225</f>
        <v>-0.85599999999999998</v>
      </c>
      <c r="L225" s="233">
        <f>G225-F225</f>
        <v>-198500</v>
      </c>
    </row>
    <row r="226" spans="1:12" s="36" customFormat="1" ht="40.5">
      <c r="A226" s="248" t="s">
        <v>79</v>
      </c>
      <c r="B226" s="249" t="s">
        <v>80</v>
      </c>
      <c r="C226" s="102">
        <v>-138500</v>
      </c>
      <c r="D226" s="102">
        <v>-138500</v>
      </c>
      <c r="E226" s="102">
        <v>118500</v>
      </c>
      <c r="F226" s="102">
        <v>-20000</v>
      </c>
      <c r="G226" s="102">
        <v>118500</v>
      </c>
      <c r="H226" s="242">
        <f>G226/G223</f>
        <v>67.537000000000006</v>
      </c>
      <c r="I226" s="239">
        <f t="shared" si="118"/>
        <v>1</v>
      </c>
      <c r="J226" s="227">
        <f t="shared" si="117"/>
        <v>257000</v>
      </c>
      <c r="K226" s="232">
        <f>G226/D226</f>
        <v>-0.85599999999999998</v>
      </c>
      <c r="L226" s="233">
        <f>G226-F226</f>
        <v>138500</v>
      </c>
    </row>
    <row r="227" spans="1:12" ht="27">
      <c r="A227" s="246" t="s">
        <v>83</v>
      </c>
      <c r="B227" s="247" t="s">
        <v>84</v>
      </c>
      <c r="C227" s="240">
        <f>C228+C229</f>
        <v>0</v>
      </c>
      <c r="D227" s="240">
        <f>D228+D229</f>
        <v>7672.2</v>
      </c>
      <c r="E227" s="240">
        <f>E228+E229</f>
        <v>1092</v>
      </c>
      <c r="F227" s="240">
        <f>F228+F229</f>
        <v>-2455.8000000000002</v>
      </c>
      <c r="G227" s="240">
        <f>G228+G229</f>
        <v>1754.6</v>
      </c>
      <c r="H227" s="241">
        <f>G223/G227</f>
        <v>1</v>
      </c>
      <c r="I227" s="238">
        <f t="shared" si="118"/>
        <v>1.607</v>
      </c>
      <c r="J227" s="178">
        <f t="shared" si="117"/>
        <v>-5917.6</v>
      </c>
      <c r="K227" s="177">
        <f>G227/D227</f>
        <v>0.22900000000000001</v>
      </c>
      <c r="L227" s="230">
        <f>G227-F227</f>
        <v>4210.3999999999996</v>
      </c>
    </row>
    <row r="228" spans="1:12" ht="27">
      <c r="A228" s="94" t="s">
        <v>85</v>
      </c>
      <c r="B228" s="95" t="s">
        <v>50</v>
      </c>
      <c r="C228" s="102">
        <v>0</v>
      </c>
      <c r="D228" s="102">
        <v>-1566320.6</v>
      </c>
      <c r="E228" s="102">
        <v>0</v>
      </c>
      <c r="F228" s="102">
        <v>-969130.5</v>
      </c>
      <c r="G228" s="102">
        <v>-987882.1</v>
      </c>
      <c r="H228" s="242">
        <f>G228/G223</f>
        <v>-563.024</v>
      </c>
      <c r="I228" s="239">
        <v>0</v>
      </c>
      <c r="J228" s="217">
        <f t="shared" si="117"/>
        <v>578438.5</v>
      </c>
      <c r="K228" s="218">
        <f>G228/D228</f>
        <v>0.63100000000000001</v>
      </c>
      <c r="L228" s="231">
        <f>-(L61)</f>
        <v>39957.199999999997</v>
      </c>
    </row>
    <row r="229" spans="1:12" ht="27">
      <c r="A229" s="94" t="s">
        <v>86</v>
      </c>
      <c r="B229" s="95" t="s">
        <v>51</v>
      </c>
      <c r="C229" s="102">
        <v>0</v>
      </c>
      <c r="D229" s="102">
        <v>1573992.8</v>
      </c>
      <c r="E229" s="102">
        <v>1092</v>
      </c>
      <c r="F229" s="102">
        <v>966674.7</v>
      </c>
      <c r="G229" s="102">
        <v>989636.7</v>
      </c>
      <c r="H229" s="242">
        <f>G229/G223</f>
        <v>564.024</v>
      </c>
      <c r="I229" s="239">
        <f t="shared" si="118"/>
        <v>906.26099999999997</v>
      </c>
      <c r="J229" s="217">
        <f t="shared" si="117"/>
        <v>-584356.1</v>
      </c>
      <c r="K229" s="218">
        <f>G229/D229</f>
        <v>0.629</v>
      </c>
      <c r="L229" s="231">
        <f>L219</f>
        <v>-95746.8</v>
      </c>
    </row>
    <row r="230" spans="1:12" ht="13.5" hidden="1" customHeight="1">
      <c r="A230" s="15" t="s">
        <v>10</v>
      </c>
      <c r="B230" s="9" t="s">
        <v>9</v>
      </c>
      <c r="C230" s="118"/>
      <c r="D230" s="25"/>
      <c r="E230" s="25"/>
      <c r="F230" s="5"/>
      <c r="G230" s="5"/>
      <c r="H230" s="151"/>
      <c r="I230" s="198"/>
      <c r="J230" s="82"/>
      <c r="K230" s="81"/>
      <c r="L230" s="80"/>
    </row>
    <row r="231" spans="1:12" ht="27" hidden="1" customHeight="1">
      <c r="A231" s="78"/>
      <c r="B231" s="79" t="s">
        <v>127</v>
      </c>
      <c r="C231" s="80">
        <f>C76+C162+C170+C185+C203</f>
        <v>108442.8</v>
      </c>
      <c r="D231" s="80">
        <f>D76+D162+D170+D185+D203</f>
        <v>113297.1</v>
      </c>
      <c r="E231" s="80"/>
      <c r="F231" s="80">
        <f>F76+F162+F170+F185+F203</f>
        <v>69142</v>
      </c>
      <c r="G231" s="80">
        <f>G76+G162+G170+G185+G203</f>
        <v>66714.399999999994</v>
      </c>
      <c r="H231" s="150">
        <f t="shared" ref="H231:H236" si="119">G231/$G$219</f>
        <v>7.8E-2</v>
      </c>
      <c r="I231" s="150"/>
      <c r="J231" s="85">
        <f t="shared" ref="J231:J236" si="120">G231-D231</f>
        <v>-46582.7</v>
      </c>
      <c r="K231" s="84">
        <f t="shared" ref="K231:K236" si="121">G231/D231</f>
        <v>0.58899999999999997</v>
      </c>
      <c r="L231" s="86" t="e">
        <f>G231-#REF!</f>
        <v>#REF!</v>
      </c>
    </row>
    <row r="232" spans="1:12" ht="13.5" hidden="1" customHeight="1">
      <c r="A232" s="78" t="s">
        <v>10</v>
      </c>
      <c r="B232" s="79" t="s">
        <v>126</v>
      </c>
      <c r="C232" s="80">
        <f>C76</f>
        <v>4563.5</v>
      </c>
      <c r="D232" s="80">
        <f t="shared" ref="D232:G232" si="122">D76</f>
        <v>6719.5</v>
      </c>
      <c r="E232" s="80"/>
      <c r="F232" s="80">
        <f t="shared" ref="F232" si="123">F76</f>
        <v>9043</v>
      </c>
      <c r="G232" s="80">
        <f t="shared" si="122"/>
        <v>3787.1</v>
      </c>
      <c r="H232" s="150">
        <f t="shared" si="119"/>
        <v>4.0000000000000001E-3</v>
      </c>
      <c r="I232" s="150"/>
      <c r="J232" s="85">
        <f t="shared" si="120"/>
        <v>-2932.4</v>
      </c>
      <c r="K232" s="84">
        <f t="shared" si="121"/>
        <v>0.56399999999999995</v>
      </c>
      <c r="L232" s="86" t="e">
        <f>G232-#REF!</f>
        <v>#REF!</v>
      </c>
    </row>
    <row r="233" spans="1:12" ht="13.5" hidden="1" customHeight="1">
      <c r="A233" s="78"/>
      <c r="B233" s="79" t="s">
        <v>154</v>
      </c>
      <c r="C233" s="80">
        <f>C203+C185+C170</f>
        <v>97955.5</v>
      </c>
      <c r="D233" s="80">
        <f>D203+D185+D170</f>
        <v>97285.5</v>
      </c>
      <c r="E233" s="80"/>
      <c r="F233" s="80">
        <f>F203+F185+F170</f>
        <v>50997.599999999999</v>
      </c>
      <c r="G233" s="80">
        <f>G203+G185+G170</f>
        <v>59794.1</v>
      </c>
      <c r="H233" s="150">
        <f t="shared" si="119"/>
        <v>7.0000000000000007E-2</v>
      </c>
      <c r="I233" s="150"/>
      <c r="J233" s="85">
        <f t="shared" si="120"/>
        <v>-37491.4</v>
      </c>
      <c r="K233" s="84">
        <f t="shared" si="121"/>
        <v>0.61499999999999999</v>
      </c>
      <c r="L233" s="86" t="e">
        <f>G233-#REF!</f>
        <v>#REF!</v>
      </c>
    </row>
    <row r="234" spans="1:12" ht="13.5" hidden="1" customHeight="1">
      <c r="A234" s="78" t="s">
        <v>10</v>
      </c>
      <c r="B234" s="79" t="s">
        <v>102</v>
      </c>
      <c r="C234" s="80">
        <f>C77+C172+C187+C205</f>
        <v>12187</v>
      </c>
      <c r="D234" s="80">
        <f>D77+D172+D187+D205</f>
        <v>12936.3</v>
      </c>
      <c r="E234" s="80"/>
      <c r="F234" s="80">
        <f>F77+F172+F187+F205</f>
        <v>5988.9</v>
      </c>
      <c r="G234" s="80">
        <f>G77+G172+G187+G205</f>
        <v>7033.5</v>
      </c>
      <c r="H234" s="150">
        <f t="shared" si="119"/>
        <v>8.0000000000000002E-3</v>
      </c>
      <c r="I234" s="150"/>
      <c r="J234" s="85">
        <f t="shared" si="120"/>
        <v>-5902.8</v>
      </c>
      <c r="K234" s="84">
        <f t="shared" si="121"/>
        <v>0.54400000000000004</v>
      </c>
      <c r="L234" s="86" t="e">
        <f>G234-#REF!</f>
        <v>#REF!</v>
      </c>
    </row>
    <row r="235" spans="1:12" ht="13.5" hidden="1" customHeight="1">
      <c r="A235" s="78" t="s">
        <v>10</v>
      </c>
      <c r="B235" s="83" t="s">
        <v>71</v>
      </c>
      <c r="C235" s="90"/>
      <c r="D235" s="105"/>
      <c r="E235" s="105"/>
      <c r="F235" s="105"/>
      <c r="G235" s="105"/>
      <c r="H235" s="150">
        <f t="shared" si="119"/>
        <v>0</v>
      </c>
      <c r="I235" s="150"/>
      <c r="J235" s="85">
        <f t="shared" si="120"/>
        <v>0</v>
      </c>
      <c r="K235" s="84" t="e">
        <f t="shared" si="121"/>
        <v>#DIV/0!</v>
      </c>
      <c r="L235" s="86" t="e">
        <f>G235-#REF!</f>
        <v>#REF!</v>
      </c>
    </row>
    <row r="236" spans="1:12" ht="13.5" hidden="1" customHeight="1">
      <c r="A236" s="78"/>
      <c r="B236" s="83" t="s">
        <v>108</v>
      </c>
      <c r="C236" s="80">
        <f>C78+C85+C116+C164+C178+C193+C211</f>
        <v>416147.7</v>
      </c>
      <c r="D236" s="80">
        <f>D78+D85+D116+D164+D178+D193+D211</f>
        <v>1027930.5</v>
      </c>
      <c r="E236" s="80"/>
      <c r="F236" s="80">
        <f>F78+F85+F116+F164+F178+F193+F211</f>
        <v>296488</v>
      </c>
      <c r="G236" s="80">
        <f>G78+G85+G116+G164+G178+G193+G211</f>
        <v>585990.69999999995</v>
      </c>
      <c r="H236" s="150">
        <f t="shared" si="119"/>
        <v>0.68899999999999995</v>
      </c>
      <c r="I236" s="150"/>
      <c r="J236" s="85">
        <f t="shared" si="120"/>
        <v>-441939.8</v>
      </c>
      <c r="K236" s="84">
        <f t="shared" si="121"/>
        <v>0.56999999999999995</v>
      </c>
      <c r="L236" s="86" t="e">
        <f>G236-#REF!</f>
        <v>#REF!</v>
      </c>
    </row>
    <row r="237" spans="1:12">
      <c r="B237" s="208"/>
      <c r="C237" s="209"/>
      <c r="D237" s="210"/>
      <c r="E237" s="210"/>
      <c r="F237" s="210"/>
      <c r="G237" s="210"/>
      <c r="H237" s="29"/>
      <c r="I237" s="201"/>
      <c r="J237" s="30"/>
      <c r="K237" s="29"/>
      <c r="L237" s="27"/>
    </row>
    <row r="238" spans="1:12">
      <c r="A238" s="59"/>
      <c r="D238" s="27"/>
      <c r="E238" s="27"/>
      <c r="H238" s="57" t="s">
        <v>10</v>
      </c>
      <c r="I238" s="57"/>
    </row>
    <row r="239" spans="1:12">
      <c r="B239" s="63"/>
      <c r="C239" s="64"/>
      <c r="D239" s="65"/>
      <c r="E239" s="65"/>
      <c r="F239" s="34"/>
      <c r="G239" s="34"/>
      <c r="H239" s="66"/>
      <c r="I239" s="66"/>
      <c r="J239" s="66"/>
      <c r="K239" s="57" t="s">
        <v>10</v>
      </c>
      <c r="L239" s="2"/>
    </row>
    <row r="240" spans="1:12">
      <c r="B240" s="67"/>
      <c r="C240" s="67"/>
      <c r="D240" s="65"/>
      <c r="E240" s="65"/>
      <c r="F240" s="66"/>
      <c r="G240" s="66"/>
      <c r="H240" s="66"/>
      <c r="I240" s="66"/>
      <c r="J240" s="68"/>
    </row>
    <row r="241" spans="8:9">
      <c r="H241" s="57"/>
      <c r="I241" s="57"/>
    </row>
    <row r="242" spans="8:9">
      <c r="H242" s="57"/>
      <c r="I242" s="57"/>
    </row>
    <row r="243" spans="8:9">
      <c r="H243" s="57"/>
      <c r="I243" s="57"/>
    </row>
    <row r="244" spans="8:9">
      <c r="H244" s="57"/>
      <c r="I244" s="57"/>
    </row>
    <row r="245" spans="8:9">
      <c r="H245" s="57"/>
      <c r="I245" s="57"/>
    </row>
    <row r="246" spans="8:9">
      <c r="H246" s="57"/>
      <c r="I246" s="57"/>
    </row>
    <row r="247" spans="8:9">
      <c r="H247" s="57"/>
      <c r="I247" s="57"/>
    </row>
    <row r="248" spans="8:9">
      <c r="H248" s="57"/>
      <c r="I248" s="57"/>
    </row>
    <row r="249" spans="8:9">
      <c r="H249" s="57"/>
      <c r="I249" s="57"/>
    </row>
    <row r="250" spans="8:9">
      <c r="H250" s="57"/>
      <c r="I250" s="57"/>
    </row>
    <row r="251" spans="8:9">
      <c r="H251" s="57"/>
      <c r="I251" s="57"/>
    </row>
    <row r="252" spans="8:9">
      <c r="H252" s="57"/>
      <c r="I252" s="57"/>
    </row>
    <row r="253" spans="8:9">
      <c r="H253" s="57"/>
      <c r="I253" s="57"/>
    </row>
    <row r="254" spans="8:9">
      <c r="H254" s="57"/>
      <c r="I254" s="57"/>
    </row>
    <row r="255" spans="8:9">
      <c r="H255" s="57"/>
      <c r="I255" s="57"/>
    </row>
    <row r="256" spans="8:9">
      <c r="H256" s="57"/>
      <c r="I256" s="57"/>
    </row>
    <row r="257" spans="8:9">
      <c r="H257" s="57"/>
      <c r="I257" s="57"/>
    </row>
    <row r="258" spans="8:9">
      <c r="H258" s="57"/>
      <c r="I258" s="57"/>
    </row>
    <row r="259" spans="8:9">
      <c r="H259" s="57"/>
      <c r="I259" s="57"/>
    </row>
    <row r="260" spans="8:9">
      <c r="H260" s="57"/>
      <c r="I260" s="57"/>
    </row>
    <row r="261" spans="8:9">
      <c r="H261" s="57"/>
      <c r="I261" s="57"/>
    </row>
    <row r="262" spans="8:9">
      <c r="H262" s="57"/>
      <c r="I262" s="57"/>
    </row>
    <row r="263" spans="8:9">
      <c r="H263" s="57"/>
      <c r="I263" s="57"/>
    </row>
    <row r="264" spans="8:9">
      <c r="H264" s="57"/>
      <c r="I264" s="57"/>
    </row>
    <row r="265" spans="8:9">
      <c r="H265" s="57"/>
      <c r="I265" s="57"/>
    </row>
    <row r="266" spans="8:9">
      <c r="H266" s="57"/>
      <c r="I266" s="57"/>
    </row>
    <row r="267" spans="8:9">
      <c r="H267" s="57"/>
      <c r="I267" s="57"/>
    </row>
    <row r="268" spans="8:9">
      <c r="H268" s="57"/>
      <c r="I268" s="57"/>
    </row>
    <row r="269" spans="8:9">
      <c r="H269" s="57"/>
      <c r="I269" s="57"/>
    </row>
    <row r="270" spans="8:9">
      <c r="H270" s="57"/>
      <c r="I270" s="57"/>
    </row>
    <row r="271" spans="8:9">
      <c r="H271" s="57"/>
      <c r="I271" s="57"/>
    </row>
    <row r="272" spans="8:9">
      <c r="H272" s="57"/>
      <c r="I272" s="57"/>
    </row>
    <row r="273" spans="8:9">
      <c r="H273" s="57"/>
      <c r="I273" s="57"/>
    </row>
    <row r="274" spans="8:9">
      <c r="H274" s="57"/>
      <c r="I274" s="57"/>
    </row>
    <row r="275" spans="8:9">
      <c r="H275" s="57"/>
      <c r="I275" s="57"/>
    </row>
    <row r="276" spans="8:9">
      <c r="H276" s="57"/>
      <c r="I276" s="57"/>
    </row>
    <row r="277" spans="8:9">
      <c r="H277" s="57"/>
      <c r="I277" s="57"/>
    </row>
    <row r="278" spans="8:9">
      <c r="H278" s="57"/>
      <c r="I278" s="57"/>
    </row>
    <row r="279" spans="8:9">
      <c r="H279" s="57"/>
      <c r="I279" s="57"/>
    </row>
    <row r="280" spans="8:9">
      <c r="H280" s="57"/>
      <c r="I280" s="57"/>
    </row>
    <row r="281" spans="8:9">
      <c r="H281" s="57"/>
      <c r="I281" s="57"/>
    </row>
    <row r="282" spans="8:9">
      <c r="H282" s="57"/>
      <c r="I282" s="57"/>
    </row>
    <row r="283" spans="8:9">
      <c r="H283" s="57"/>
      <c r="I283" s="57"/>
    </row>
    <row r="284" spans="8:9">
      <c r="H284" s="57"/>
      <c r="I284" s="57"/>
    </row>
    <row r="285" spans="8:9">
      <c r="H285" s="57"/>
      <c r="I285" s="57"/>
    </row>
    <row r="286" spans="8:9">
      <c r="H286" s="57"/>
      <c r="I286" s="57"/>
    </row>
    <row r="287" spans="8:9">
      <c r="H287" s="57"/>
      <c r="I287" s="57"/>
    </row>
    <row r="288" spans="8:9">
      <c r="H288" s="57"/>
      <c r="I288" s="57"/>
    </row>
    <row r="289" spans="8:9">
      <c r="H289" s="57"/>
      <c r="I289" s="57"/>
    </row>
    <row r="290" spans="8:9">
      <c r="H290" s="57"/>
      <c r="I290" s="57"/>
    </row>
    <row r="291" spans="8:9">
      <c r="H291" s="57"/>
      <c r="I291" s="57"/>
    </row>
    <row r="292" spans="8:9">
      <c r="H292" s="57"/>
      <c r="I292" s="57"/>
    </row>
    <row r="293" spans="8:9">
      <c r="H293" s="57"/>
      <c r="I293" s="57"/>
    </row>
    <row r="294" spans="8:9">
      <c r="H294" s="57"/>
      <c r="I294" s="57"/>
    </row>
    <row r="295" spans="8:9">
      <c r="H295" s="57"/>
      <c r="I295" s="57"/>
    </row>
    <row r="296" spans="8:9">
      <c r="H296" s="57"/>
      <c r="I296" s="57"/>
    </row>
    <row r="297" spans="8:9">
      <c r="H297" s="57"/>
      <c r="I297" s="57"/>
    </row>
    <row r="298" spans="8:9">
      <c r="H298" s="57"/>
      <c r="I298" s="57"/>
    </row>
    <row r="299" spans="8:9">
      <c r="H299" s="57"/>
      <c r="I299" s="57"/>
    </row>
    <row r="300" spans="8:9">
      <c r="H300" s="57"/>
      <c r="I300" s="57"/>
    </row>
    <row r="301" spans="8:9">
      <c r="H301" s="57"/>
      <c r="I301" s="57"/>
    </row>
    <row r="302" spans="8:9">
      <c r="H302" s="57"/>
      <c r="I302" s="57"/>
    </row>
    <row r="303" spans="8:9">
      <c r="H303" s="57"/>
      <c r="I303" s="57"/>
    </row>
    <row r="304" spans="8:9">
      <c r="H304" s="57"/>
      <c r="I304" s="57"/>
    </row>
    <row r="305" spans="8:9">
      <c r="H305" s="57"/>
      <c r="I305" s="57"/>
    </row>
    <row r="306" spans="8:9">
      <c r="H306" s="57"/>
      <c r="I306" s="57"/>
    </row>
    <row r="307" spans="8:9">
      <c r="H307" s="57"/>
      <c r="I307" s="57"/>
    </row>
    <row r="308" spans="8:9">
      <c r="H308" s="57"/>
      <c r="I308" s="57"/>
    </row>
    <row r="309" spans="8:9">
      <c r="H309" s="57"/>
      <c r="I309" s="57"/>
    </row>
    <row r="310" spans="8:9">
      <c r="H310" s="57"/>
      <c r="I310" s="57"/>
    </row>
    <row r="311" spans="8:9">
      <c r="H311" s="57"/>
      <c r="I311" s="57"/>
    </row>
    <row r="312" spans="8:9">
      <c r="H312" s="57"/>
      <c r="I312" s="57"/>
    </row>
    <row r="313" spans="8:9">
      <c r="H313" s="57"/>
      <c r="I313" s="57"/>
    </row>
    <row r="314" spans="8:9">
      <c r="H314" s="57"/>
      <c r="I314" s="57"/>
    </row>
    <row r="315" spans="8:9">
      <c r="H315" s="57"/>
      <c r="I315" s="57"/>
    </row>
    <row r="316" spans="8:9">
      <c r="H316" s="57"/>
      <c r="I316" s="57"/>
    </row>
    <row r="317" spans="8:9">
      <c r="H317" s="57"/>
      <c r="I317" s="57"/>
    </row>
    <row r="318" spans="8:9">
      <c r="H318" s="57"/>
      <c r="I318" s="57"/>
    </row>
    <row r="319" spans="8:9">
      <c r="H319" s="57"/>
      <c r="I319" s="57"/>
    </row>
    <row r="320" spans="8:9">
      <c r="H320" s="57"/>
      <c r="I320" s="57"/>
    </row>
    <row r="321" spans="8:9">
      <c r="H321" s="57"/>
      <c r="I321" s="57"/>
    </row>
    <row r="322" spans="8:9">
      <c r="H322" s="57"/>
      <c r="I322" s="57"/>
    </row>
    <row r="323" spans="8:9">
      <c r="H323" s="57"/>
      <c r="I323" s="57"/>
    </row>
    <row r="324" spans="8:9">
      <c r="H324" s="57"/>
      <c r="I324" s="57"/>
    </row>
    <row r="325" spans="8:9">
      <c r="H325" s="57"/>
      <c r="I325" s="57"/>
    </row>
    <row r="326" spans="8:9">
      <c r="H326" s="57"/>
      <c r="I326" s="57"/>
    </row>
    <row r="327" spans="8:9">
      <c r="H327" s="57"/>
      <c r="I327" s="57"/>
    </row>
    <row r="328" spans="8:9">
      <c r="H328" s="57"/>
      <c r="I328" s="57"/>
    </row>
    <row r="329" spans="8:9">
      <c r="H329" s="57"/>
      <c r="I329" s="57"/>
    </row>
    <row r="330" spans="8:9">
      <c r="H330" s="57"/>
      <c r="I330" s="57"/>
    </row>
    <row r="331" spans="8:9">
      <c r="H331" s="57"/>
      <c r="I331" s="57"/>
    </row>
    <row r="332" spans="8:9">
      <c r="H332" s="57"/>
      <c r="I332" s="57"/>
    </row>
    <row r="333" spans="8:9">
      <c r="H333" s="57"/>
      <c r="I333" s="57"/>
    </row>
    <row r="334" spans="8:9">
      <c r="H334" s="57"/>
      <c r="I334" s="57"/>
    </row>
    <row r="335" spans="8:9">
      <c r="H335" s="57"/>
      <c r="I335" s="57"/>
    </row>
    <row r="336" spans="8:9">
      <c r="H336" s="57"/>
      <c r="I336" s="57"/>
    </row>
    <row r="337" spans="8:9">
      <c r="H337" s="57"/>
      <c r="I337" s="57"/>
    </row>
    <row r="338" spans="8:9">
      <c r="H338" s="57"/>
      <c r="I338" s="57"/>
    </row>
    <row r="339" spans="8:9">
      <c r="H339" s="57"/>
      <c r="I339" s="57"/>
    </row>
    <row r="340" spans="8:9">
      <c r="H340" s="57"/>
      <c r="I340" s="57"/>
    </row>
    <row r="341" spans="8:9">
      <c r="H341" s="57"/>
      <c r="I341" s="57"/>
    </row>
    <row r="342" spans="8:9">
      <c r="H342" s="57"/>
      <c r="I342" s="57"/>
    </row>
    <row r="343" spans="8:9">
      <c r="H343" s="57"/>
      <c r="I343" s="57"/>
    </row>
    <row r="344" spans="8:9">
      <c r="H344" s="57"/>
      <c r="I344" s="57"/>
    </row>
    <row r="345" spans="8:9">
      <c r="H345" s="57"/>
      <c r="I345" s="57"/>
    </row>
    <row r="346" spans="8:9">
      <c r="H346" s="57"/>
      <c r="I346" s="57"/>
    </row>
    <row r="347" spans="8:9">
      <c r="H347" s="57"/>
      <c r="I347" s="57"/>
    </row>
    <row r="348" spans="8:9">
      <c r="H348" s="57"/>
      <c r="I348" s="57"/>
    </row>
    <row r="349" spans="8:9">
      <c r="H349" s="57"/>
      <c r="I349" s="57"/>
    </row>
    <row r="350" spans="8:9">
      <c r="H350" s="57"/>
      <c r="I350" s="57"/>
    </row>
    <row r="351" spans="8:9">
      <c r="H351" s="57"/>
      <c r="I351" s="57"/>
    </row>
    <row r="352" spans="8:9">
      <c r="H352" s="57"/>
      <c r="I352" s="57"/>
    </row>
    <row r="353" spans="8:9">
      <c r="H353" s="57"/>
      <c r="I353" s="57"/>
    </row>
    <row r="354" spans="8:9">
      <c r="H354" s="57"/>
      <c r="I354" s="57"/>
    </row>
    <row r="355" spans="8:9">
      <c r="H355" s="57"/>
      <c r="I355" s="57"/>
    </row>
    <row r="356" spans="8:9">
      <c r="H356" s="57"/>
      <c r="I356" s="57"/>
    </row>
    <row r="357" spans="8:9">
      <c r="H357" s="57"/>
      <c r="I357" s="57"/>
    </row>
    <row r="358" spans="8:9">
      <c r="H358" s="57"/>
      <c r="I358" s="57"/>
    </row>
    <row r="359" spans="8:9">
      <c r="H359" s="57"/>
      <c r="I359" s="57"/>
    </row>
    <row r="360" spans="8:9">
      <c r="H360" s="57"/>
      <c r="I360" s="57"/>
    </row>
    <row r="361" spans="8:9">
      <c r="H361" s="57"/>
      <c r="I361" s="57"/>
    </row>
    <row r="362" spans="8:9">
      <c r="H362" s="57"/>
      <c r="I362" s="57"/>
    </row>
    <row r="363" spans="8:9">
      <c r="H363" s="57"/>
      <c r="I363" s="57"/>
    </row>
    <row r="364" spans="8:9">
      <c r="H364" s="57"/>
      <c r="I364" s="57"/>
    </row>
    <row r="365" spans="8:9">
      <c r="H365" s="57"/>
      <c r="I365" s="57"/>
    </row>
    <row r="366" spans="8:9">
      <c r="H366" s="57"/>
      <c r="I366" s="57"/>
    </row>
    <row r="367" spans="8:9">
      <c r="H367" s="57"/>
      <c r="I367" s="57"/>
    </row>
    <row r="368" spans="8:9">
      <c r="H368" s="57"/>
      <c r="I368" s="57"/>
    </row>
    <row r="369" spans="8:9">
      <c r="H369" s="57"/>
      <c r="I369" s="57"/>
    </row>
    <row r="370" spans="8:9">
      <c r="H370" s="57"/>
      <c r="I370" s="57"/>
    </row>
    <row r="371" spans="8:9">
      <c r="H371" s="57"/>
      <c r="I371" s="57"/>
    </row>
    <row r="372" spans="8:9">
      <c r="H372" s="57"/>
      <c r="I372" s="57"/>
    </row>
    <row r="373" spans="8:9">
      <c r="H373" s="57"/>
      <c r="I373" s="57"/>
    </row>
    <row r="374" spans="8:9">
      <c r="H374" s="57"/>
      <c r="I374" s="57"/>
    </row>
    <row r="375" spans="8:9">
      <c r="H375" s="57"/>
      <c r="I375" s="57"/>
    </row>
    <row r="376" spans="8:9">
      <c r="H376" s="57"/>
      <c r="I376" s="57"/>
    </row>
    <row r="377" spans="8:9">
      <c r="H377" s="57"/>
      <c r="I377" s="57"/>
    </row>
    <row r="378" spans="8:9">
      <c r="H378" s="57"/>
      <c r="I378" s="57"/>
    </row>
    <row r="379" spans="8:9">
      <c r="H379" s="57"/>
      <c r="I379" s="57"/>
    </row>
    <row r="380" spans="8:9">
      <c r="H380" s="57"/>
      <c r="I380" s="57"/>
    </row>
    <row r="381" spans="8:9">
      <c r="H381" s="57"/>
      <c r="I381" s="57"/>
    </row>
    <row r="382" spans="8:9">
      <c r="H382" s="57"/>
      <c r="I382" s="57"/>
    </row>
    <row r="383" spans="8:9">
      <c r="H383" s="57"/>
      <c r="I383" s="57"/>
    </row>
    <row r="384" spans="8:9">
      <c r="H384" s="57"/>
      <c r="I384" s="57"/>
    </row>
    <row r="385" spans="8:9">
      <c r="H385" s="57"/>
      <c r="I385" s="57"/>
    </row>
    <row r="386" spans="8:9">
      <c r="H386" s="57"/>
      <c r="I386" s="57"/>
    </row>
    <row r="387" spans="8:9">
      <c r="H387" s="57"/>
      <c r="I387" s="57"/>
    </row>
    <row r="388" spans="8:9">
      <c r="H388" s="57"/>
      <c r="I388" s="57"/>
    </row>
    <row r="389" spans="8:9">
      <c r="H389" s="57"/>
      <c r="I389" s="57"/>
    </row>
    <row r="390" spans="8:9">
      <c r="H390" s="57"/>
      <c r="I390" s="57"/>
    </row>
    <row r="391" spans="8:9">
      <c r="H391" s="57"/>
      <c r="I391" s="57"/>
    </row>
    <row r="392" spans="8:9">
      <c r="H392" s="57"/>
      <c r="I392" s="57"/>
    </row>
    <row r="393" spans="8:9">
      <c r="H393" s="57"/>
      <c r="I393" s="57"/>
    </row>
    <row r="394" spans="8:9">
      <c r="H394" s="57"/>
      <c r="I394" s="57"/>
    </row>
    <row r="395" spans="8:9">
      <c r="H395" s="57"/>
      <c r="I395" s="57"/>
    </row>
    <row r="396" spans="8:9">
      <c r="H396" s="57"/>
      <c r="I396" s="57"/>
    </row>
    <row r="397" spans="8:9">
      <c r="H397" s="57"/>
      <c r="I397" s="57"/>
    </row>
    <row r="398" spans="8:9">
      <c r="H398" s="57"/>
      <c r="I398" s="57"/>
    </row>
    <row r="399" spans="8:9">
      <c r="H399" s="57"/>
      <c r="I399" s="57"/>
    </row>
    <row r="400" spans="8:9">
      <c r="H400" s="57"/>
      <c r="I400" s="57"/>
    </row>
    <row r="401" spans="8:9">
      <c r="H401" s="57"/>
      <c r="I401" s="57"/>
    </row>
    <row r="402" spans="8:9">
      <c r="H402" s="57"/>
      <c r="I402" s="57"/>
    </row>
    <row r="403" spans="8:9">
      <c r="H403" s="57"/>
      <c r="I403" s="57"/>
    </row>
    <row r="404" spans="8:9">
      <c r="H404" s="57"/>
      <c r="I404" s="57"/>
    </row>
    <row r="405" spans="8:9">
      <c r="H405" s="57"/>
      <c r="I405" s="57"/>
    </row>
    <row r="406" spans="8:9">
      <c r="H406" s="57"/>
      <c r="I406" s="57"/>
    </row>
    <row r="407" spans="8:9">
      <c r="H407" s="57"/>
      <c r="I407" s="57"/>
    </row>
    <row r="408" spans="8:9">
      <c r="H408" s="57"/>
      <c r="I408" s="57"/>
    </row>
    <row r="409" spans="8:9">
      <c r="H409" s="57"/>
      <c r="I409" s="57"/>
    </row>
    <row r="410" spans="8:9">
      <c r="H410" s="57"/>
      <c r="I410" s="57"/>
    </row>
    <row r="411" spans="8:9">
      <c r="H411" s="57"/>
      <c r="I411" s="57"/>
    </row>
    <row r="412" spans="8:9">
      <c r="H412" s="57"/>
      <c r="I412" s="57"/>
    </row>
    <row r="413" spans="8:9">
      <c r="H413" s="57"/>
      <c r="I413" s="57"/>
    </row>
    <row r="414" spans="8:9">
      <c r="H414" s="57"/>
      <c r="I414" s="57"/>
    </row>
    <row r="415" spans="8:9">
      <c r="H415" s="57"/>
      <c r="I415" s="57"/>
    </row>
    <row r="416" spans="8:9">
      <c r="H416" s="57"/>
      <c r="I416" s="57"/>
    </row>
    <row r="417" spans="8:9">
      <c r="H417" s="57"/>
      <c r="I417" s="57"/>
    </row>
    <row r="418" spans="8:9">
      <c r="H418" s="57"/>
      <c r="I418" s="57"/>
    </row>
    <row r="419" spans="8:9">
      <c r="H419" s="57"/>
      <c r="I419" s="57"/>
    </row>
    <row r="420" spans="8:9">
      <c r="H420" s="57"/>
      <c r="I420" s="57"/>
    </row>
    <row r="421" spans="8:9">
      <c r="H421" s="57"/>
      <c r="I421" s="57"/>
    </row>
    <row r="422" spans="8:9">
      <c r="H422" s="57"/>
      <c r="I422" s="57"/>
    </row>
    <row r="423" spans="8:9">
      <c r="H423" s="57"/>
      <c r="I423" s="57"/>
    </row>
    <row r="424" spans="8:9">
      <c r="H424" s="57"/>
      <c r="I424" s="57"/>
    </row>
    <row r="425" spans="8:9">
      <c r="H425" s="57"/>
      <c r="I425" s="57"/>
    </row>
    <row r="426" spans="8:9">
      <c r="H426" s="57"/>
      <c r="I426" s="57"/>
    </row>
    <row r="427" spans="8:9">
      <c r="H427" s="57"/>
      <c r="I427" s="57"/>
    </row>
    <row r="428" spans="8:9">
      <c r="H428" s="57"/>
      <c r="I428" s="57"/>
    </row>
    <row r="429" spans="8:9">
      <c r="H429" s="57"/>
      <c r="I429" s="57"/>
    </row>
    <row r="430" spans="8:9">
      <c r="H430" s="57"/>
      <c r="I430" s="57"/>
    </row>
    <row r="431" spans="8:9">
      <c r="H431" s="57"/>
      <c r="I431" s="57"/>
    </row>
    <row r="432" spans="8:9">
      <c r="H432" s="57"/>
      <c r="I432" s="57"/>
    </row>
    <row r="433" spans="8:9">
      <c r="H433" s="57"/>
      <c r="I433" s="57"/>
    </row>
    <row r="434" spans="8:9">
      <c r="H434" s="57"/>
      <c r="I434" s="57"/>
    </row>
    <row r="435" spans="8:9">
      <c r="H435" s="57"/>
      <c r="I435" s="57"/>
    </row>
    <row r="436" spans="8:9">
      <c r="H436" s="57"/>
      <c r="I436" s="57"/>
    </row>
    <row r="437" spans="8:9">
      <c r="H437" s="57"/>
      <c r="I437" s="57"/>
    </row>
    <row r="438" spans="8:9">
      <c r="H438" s="57"/>
      <c r="I438" s="57"/>
    </row>
    <row r="439" spans="8:9">
      <c r="H439" s="57"/>
      <c r="I439" s="57"/>
    </row>
    <row r="440" spans="8:9">
      <c r="H440" s="57"/>
      <c r="I440" s="57"/>
    </row>
    <row r="441" spans="8:9">
      <c r="H441" s="57"/>
      <c r="I441" s="57"/>
    </row>
    <row r="442" spans="8:9">
      <c r="H442" s="57"/>
      <c r="I442" s="57"/>
    </row>
    <row r="443" spans="8:9">
      <c r="H443" s="57"/>
      <c r="I443" s="57"/>
    </row>
    <row r="444" spans="8:9">
      <c r="H444" s="57"/>
      <c r="I444" s="57"/>
    </row>
    <row r="445" spans="8:9">
      <c r="H445" s="57"/>
      <c r="I445" s="57"/>
    </row>
    <row r="446" spans="8:9">
      <c r="H446" s="57"/>
      <c r="I446" s="57"/>
    </row>
    <row r="447" spans="8:9">
      <c r="H447" s="57"/>
      <c r="I447" s="57"/>
    </row>
    <row r="448" spans="8:9">
      <c r="H448" s="57"/>
      <c r="I448" s="57"/>
    </row>
    <row r="449" spans="8:9">
      <c r="H449" s="57"/>
      <c r="I449" s="57"/>
    </row>
    <row r="450" spans="8:9">
      <c r="H450" s="57"/>
      <c r="I450" s="57"/>
    </row>
    <row r="451" spans="8:9">
      <c r="H451" s="57"/>
      <c r="I451" s="57"/>
    </row>
    <row r="452" spans="8:9">
      <c r="H452" s="57"/>
      <c r="I452" s="57"/>
    </row>
    <row r="453" spans="8:9">
      <c r="H453" s="57"/>
      <c r="I453" s="57"/>
    </row>
    <row r="454" spans="8:9">
      <c r="H454" s="57"/>
      <c r="I454" s="57"/>
    </row>
    <row r="455" spans="8:9">
      <c r="H455" s="57"/>
      <c r="I455" s="57"/>
    </row>
    <row r="456" spans="8:9">
      <c r="H456" s="57"/>
      <c r="I456" s="57"/>
    </row>
    <row r="457" spans="8:9">
      <c r="H457" s="57"/>
      <c r="I457" s="57"/>
    </row>
    <row r="458" spans="8:9">
      <c r="H458" s="57"/>
      <c r="I458" s="57"/>
    </row>
    <row r="459" spans="8:9">
      <c r="H459" s="57"/>
      <c r="I459" s="57"/>
    </row>
    <row r="460" spans="8:9">
      <c r="H460" s="57"/>
      <c r="I460" s="57"/>
    </row>
    <row r="461" spans="8:9">
      <c r="H461" s="57"/>
      <c r="I461" s="57"/>
    </row>
    <row r="462" spans="8:9">
      <c r="H462" s="57"/>
      <c r="I462" s="57"/>
    </row>
    <row r="463" spans="8:9">
      <c r="H463" s="57"/>
      <c r="I463" s="57"/>
    </row>
    <row r="464" spans="8:9">
      <c r="H464" s="57"/>
      <c r="I464" s="57"/>
    </row>
    <row r="465" spans="8:9">
      <c r="H465" s="57"/>
      <c r="I465" s="57"/>
    </row>
    <row r="466" spans="8:9">
      <c r="H466" s="57"/>
      <c r="I466" s="57"/>
    </row>
    <row r="467" spans="8:9">
      <c r="H467" s="57"/>
      <c r="I467" s="57"/>
    </row>
    <row r="468" spans="8:9">
      <c r="H468" s="57"/>
      <c r="I468" s="57"/>
    </row>
    <row r="469" spans="8:9">
      <c r="H469" s="57"/>
      <c r="I469" s="57"/>
    </row>
    <row r="470" spans="8:9">
      <c r="H470" s="57"/>
      <c r="I470" s="57"/>
    </row>
    <row r="471" spans="8:9">
      <c r="H471" s="57"/>
      <c r="I471" s="57"/>
    </row>
    <row r="472" spans="8:9">
      <c r="H472" s="57"/>
      <c r="I472" s="57"/>
    </row>
    <row r="473" spans="8:9">
      <c r="H473" s="57"/>
      <c r="I473" s="57"/>
    </row>
    <row r="474" spans="8:9">
      <c r="H474" s="57"/>
      <c r="I474" s="57"/>
    </row>
    <row r="475" spans="8:9">
      <c r="H475" s="57"/>
      <c r="I475" s="57"/>
    </row>
    <row r="476" spans="8:9">
      <c r="H476" s="57"/>
      <c r="I476" s="57"/>
    </row>
    <row r="477" spans="8:9">
      <c r="H477" s="57"/>
      <c r="I477" s="57"/>
    </row>
    <row r="478" spans="8:9">
      <c r="H478" s="57"/>
      <c r="I478" s="57"/>
    </row>
    <row r="479" spans="8:9">
      <c r="H479" s="57"/>
      <c r="I479" s="57"/>
    </row>
    <row r="480" spans="8:9">
      <c r="H480" s="57"/>
      <c r="I480" s="57"/>
    </row>
    <row r="481" spans="8:9">
      <c r="H481" s="57"/>
      <c r="I481" s="57"/>
    </row>
    <row r="482" spans="8:9">
      <c r="H482" s="57"/>
      <c r="I482" s="57"/>
    </row>
    <row r="483" spans="8:9">
      <c r="H483" s="57"/>
      <c r="I483" s="57"/>
    </row>
    <row r="484" spans="8:9">
      <c r="H484" s="57"/>
      <c r="I484" s="57"/>
    </row>
    <row r="485" spans="8:9">
      <c r="H485" s="57"/>
      <c r="I485" s="57"/>
    </row>
    <row r="486" spans="8:9">
      <c r="H486" s="57"/>
      <c r="I486" s="57"/>
    </row>
    <row r="487" spans="8:9">
      <c r="H487" s="57"/>
      <c r="I487" s="57"/>
    </row>
    <row r="488" spans="8:9">
      <c r="H488" s="57"/>
      <c r="I488" s="57"/>
    </row>
    <row r="489" spans="8:9">
      <c r="H489" s="57"/>
      <c r="I489" s="57"/>
    </row>
  </sheetData>
  <customSheetViews>
    <customSheetView guid="{0BD4437E-22A9-4FBD-A5E2-5BE85718F571}" scale="110" fitToPage="1" printArea="1" showRuler="0">
      <pane ySplit="5" topLeftCell="A54" activePane="bottomLeft" state="frozenSplit"/>
      <selection pane="bottomLeft" activeCell="E4" sqref="E4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1"/>
      <headerFooter alignWithMargins="0">
        <oddFooter>&amp;R&amp;"Arial Narrow,обычный"&amp;8Лист &amp;P из &amp;N</oddFooter>
      </headerFooter>
    </customSheetView>
    <customSheetView guid="{08EF82CC-B73D-4976-854E-2FADDE1EDAB4}" scale="110" fitToPage="1" showRuler="0">
      <pane ySplit="5" topLeftCell="A108" activePane="bottomLeft" state="frozenSplit"/>
      <selection pane="bottomLeft" activeCell="G116" sqref="G116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"/>
      <headerFooter alignWithMargins="0">
        <oddFooter>&amp;R&amp;"Arial Narrow,обычный"&amp;8Лист &amp;P из &amp;N</oddFooter>
      </headerFooter>
    </customSheetView>
    <customSheetView guid="{6B5A71DB-8104-43F2-BE21-9362D50D2638}" fitToPage="1" printArea="1" hiddenRows="1" view="pageBreakPreview" showRuler="0">
      <pane ySplit="5" topLeftCell="A133" activePane="bottomLeft" state="frozenSplit"/>
      <selection pane="bottomLeft" activeCell="D57" sqref="D57"/>
      <rowBreaks count="60" manualBreakCount="60">
        <brk id="13" max="16383" man="1"/>
        <brk id="18" max="12" man="1"/>
        <brk id="21" max="12" man="1"/>
        <brk id="23" max="12" man="1"/>
        <brk id="26" max="12" man="1"/>
        <brk id="28" max="16383" man="1"/>
        <brk id="42" max="12" man="1"/>
        <brk id="43" max="12" man="1"/>
        <brk id="44" max="12" man="1"/>
        <brk id="45" max="12" man="1"/>
        <brk id="46" max="12" man="1"/>
        <brk id="47" max="12" man="1"/>
        <brk id="51" max="12" man="1"/>
        <brk id="63" max="12" man="1"/>
        <brk id="64" max="12" man="1"/>
        <brk id="67" max="12" man="1"/>
        <brk id="76" max="16383" man="1"/>
        <brk id="80" max="12" man="1"/>
        <brk id="81" max="16383" man="1"/>
        <brk id="84" max="12" man="1"/>
        <brk id="92" max="12" man="1"/>
        <brk id="129" max="12" man="1"/>
        <brk id="137" max="12" man="1"/>
        <brk id="138" max="12" man="1"/>
        <brk id="140" max="16383" man="1"/>
        <brk id="143" max="12" man="1"/>
        <brk id="144" max="12" man="1"/>
        <brk id="147" max="16383" man="1"/>
        <brk id="148" max="16383" man="1"/>
        <brk id="151" max="13" man="1"/>
        <brk id="152" max="16383" man="1"/>
        <brk id="153" max="13" man="1"/>
        <brk id="155" max="13" man="1"/>
        <brk id="158" max="13" man="1"/>
        <brk id="159" max="13" man="1"/>
        <brk id="161" max="13" man="1"/>
        <brk id="162" max="13" man="1"/>
        <brk id="169" max="13" man="1"/>
        <brk id="175" max="13" man="1"/>
        <brk id="176" max="13" man="1"/>
        <brk id="177" max="13" man="1"/>
        <brk id="180" max="13" man="1"/>
        <brk id="181" max="16383" man="1"/>
        <brk id="184" max="13" man="1"/>
        <brk id="186" max="16383" man="1"/>
        <brk id="188" max="16383" man="1"/>
        <brk id="189" max="13" man="1"/>
        <brk id="190" max="13" man="1"/>
        <brk id="191" max="13" man="1"/>
        <brk id="197" max="13" man="1"/>
        <brk id="199" max="13" man="1"/>
        <brk id="204" max="13" man="1"/>
        <brk id="206" max="13" man="1"/>
        <brk id="209" max="13" man="1"/>
        <brk id="211" max="13" man="1"/>
        <brk id="219" max="13" man="1"/>
        <brk id="220" max="16383" man="1"/>
        <brk id="228" max="13" man="1"/>
        <brk id="232" max="13" man="1"/>
        <brk id="240" max="13" man="1"/>
      </rowBreaks>
      <pageMargins left="0.27559055118110237" right="0.19685039370078741" top="0.31496062992125984" bottom="0.19685039370078741" header="0.15748031496062992" footer="0.19685039370078741"/>
      <pageSetup paperSize="9" scale="87" fitToHeight="14" orientation="landscape" blackAndWhite="1" horizontalDpi="4294967292" verticalDpi="4294967292" r:id="rId3"/>
      <headerFooter alignWithMargins="0">
        <oddFooter>&amp;R&amp;"Arial Narrow,обычный"&amp;8Лист &amp;P из &amp;N</oddFooter>
      </headerFooter>
    </customSheetView>
    <customSheetView guid="{D467516B-79C5-4C0A-A5E2-1E73FB77BFFC}" showPageBreaks="1" fitToPage="1" showRuler="0">
      <pane xSplit="2" ySplit="4" topLeftCell="C89" activePane="bottomRight" state="frozenSplit"/>
      <selection pane="bottomRight" activeCell="D107" sqref="D107"/>
      <rowBreaks count="74" manualBreakCount="74">
        <brk id="13" max="13" man="1"/>
        <brk id="14" max="16383" man="1"/>
        <brk id="16" max="16383" man="1"/>
        <brk id="18" max="16383" man="1"/>
        <brk id="22" max="16383" man="1"/>
        <brk id="23" max="13" man="1"/>
        <brk id="24" max="16383" man="1"/>
        <brk id="25" max="16383" man="1"/>
        <brk id="26" max="16383" man="1"/>
        <brk id="27" max="16383" man="1"/>
        <brk id="28" max="16383" man="1"/>
        <brk id="29" max="16383" man="1"/>
        <brk id="30" max="16383" man="1"/>
        <brk id="31" max="16383" man="1"/>
        <brk id="32" max="16383" man="1"/>
        <brk id="33" max="16383" man="1"/>
        <brk id="35" max="16383" man="1"/>
        <brk id="36" max="16383" man="1"/>
        <brk id="37" max="16383" man="1"/>
        <brk id="38" max="16383" man="1"/>
        <brk id="39" max="13" man="1"/>
        <brk id="40" max="16383" man="1"/>
        <brk id="42" max="16383" man="1"/>
        <brk id="43" max="16383" man="1"/>
        <brk id="44" max="16383" man="1"/>
        <brk id="45" max="16383" man="1"/>
        <brk id="46" max="16383" man="1"/>
        <brk id="47" max="16383" man="1"/>
        <brk id="48" max="16383" man="1"/>
        <brk id="49" max="16383" man="1"/>
        <brk id="50" max="16383" man="1"/>
        <brk id="51" max="13" man="1"/>
        <brk id="52" max="16383" man="1"/>
        <brk id="56" max="13" man="1"/>
        <brk id="58" max="10" man="1"/>
        <brk id="59" max="16383" man="1"/>
        <brk id="62" max="16383" man="1"/>
        <brk id="73" max="13" man="1"/>
        <brk id="74" max="13" man="1"/>
        <brk id="76" max="13" man="1"/>
        <brk id="80" max="13" man="1"/>
        <brk id="81" max="16383" man="1"/>
        <brk id="85" max="16383" man="1"/>
        <brk id="86" max="16383" man="1"/>
        <brk id="87" max="16383" man="1"/>
        <brk id="88" max="13" man="1"/>
        <brk id="91" max="16383" man="1"/>
        <brk id="92" max="13" man="1"/>
        <brk id="94" max="13" man="1"/>
        <brk id="95" max="16383" man="1"/>
        <brk id="96" max="16383" man="1"/>
        <brk id="97" max="16383" man="1"/>
        <brk id="98" max="16383" man="1"/>
        <brk id="100" max="16383" man="1"/>
        <brk id="101" max="13" man="1"/>
        <brk id="107" max="10" man="1"/>
        <brk id="108" max="16383" man="1"/>
        <brk id="109" max="13" man="1"/>
        <brk id="110" max="16383" man="1"/>
        <brk id="112" max="13" man="1"/>
        <brk id="114" max="16383" man="1"/>
        <brk id="119" max="16383" man="1"/>
        <brk id="120" max="16383" man="1"/>
        <brk id="122" max="16383" man="1"/>
        <brk id="124" max="16383" man="1"/>
        <brk id="134" max="10" man="1"/>
        <brk id="135" max="16383" man="1"/>
        <brk id="136" max="16383" man="1"/>
        <brk id="138" max="10" man="1"/>
        <brk id="142" max="16383" man="1"/>
        <brk id="148" max="16383" man="1"/>
        <brk id="165" max="16383" man="1"/>
        <brk id="166" max="16383" man="1"/>
        <brk id="179" max="16383" man="1"/>
      </rowBreaks>
      <pageMargins left="0.27559055118110237" right="0.19685039370078741" top="0.33" bottom="0.4" header="0.15748031496062992" footer="0.19685039370078741"/>
      <pageSetup paperSize="9" scale="92" fitToHeight="13" orientation="landscape" blackAndWhite="1" horizontalDpi="4294967292" verticalDpi="4294967292" r:id="rId4"/>
      <headerFooter alignWithMargins="0">
        <oddFooter>&amp;R&amp;"Arial Narrow,обычный"&amp;8Лист &amp;P из &amp;N</oddFooter>
      </headerFooter>
    </customSheetView>
    <customSheetView guid="{7BE5A02B-F350-49A6-9913-9C71C08559EF}" showPageBreaks="1" fitToPage="1" hiddenRows="1" showRuler="0" topLeftCell="B1">
      <pane ySplit="4" topLeftCell="A165" activePane="bottomLeft" state="frozen"/>
      <selection pane="bottomLeft" activeCell="O192" sqref="O192"/>
      <rowBreaks count="114" manualBreakCount="114">
        <brk id="13" max="16383" man="1"/>
        <brk id="16" max="16383" man="1"/>
        <brk id="19" max="16383" man="1"/>
        <brk id="20" max="16383" man="1"/>
        <brk id="24" max="16383" man="1"/>
        <brk id="28" max="13" man="1"/>
        <brk id="29" max="13" man="1"/>
        <brk id="30" max="16383" man="1"/>
        <brk id="31" max="16383" man="1"/>
        <brk id="38" max="16383" man="1"/>
        <brk id="39" max="16383" man="1"/>
        <brk id="40" max="16383" man="1"/>
        <brk id="41" max="16383" man="1"/>
        <brk id="42" max="16383" man="1"/>
        <brk id="43" max="16383" man="1"/>
        <brk id="49" max="16383" man="1"/>
        <brk id="50" max="16383" man="1"/>
        <brk id="53" max="16383" man="1"/>
        <brk id="54" max="16383" man="1"/>
        <brk id="55" max="16383" man="1"/>
        <brk id="56" max="16383" man="1"/>
        <brk id="57" max="16383" man="1"/>
        <brk id="58" max="16383" man="1"/>
        <brk id="62" max="16383" man="1"/>
        <brk id="65" max="16383" man="1"/>
        <brk id="69" max="13" man="1"/>
        <brk id="70" max="16383" man="1"/>
        <brk id="71" max="16383" man="1"/>
        <brk id="72" max="16383" man="1"/>
        <brk id="73" max="16383" man="1"/>
        <brk id="74" max="16383" man="1"/>
        <brk id="75" max="16383" man="1"/>
        <brk id="78" max="16383" man="1"/>
        <brk id="83" max="16383" man="1"/>
        <brk id="84" max="16383" man="1"/>
        <brk id="85" max="16383" man="1"/>
        <brk id="86" max="16383" man="1"/>
        <brk id="87" max="16383" man="1"/>
        <brk id="90" max="16383" man="1"/>
        <brk id="92" max="16383" man="1"/>
        <brk id="93" max="16383" man="1"/>
        <brk id="94" max="16383" man="1"/>
        <brk id="96" max="16383" man="1"/>
        <brk id="100" max="16383" man="1"/>
        <brk id="101" max="16383" man="1"/>
        <brk id="102" max="16383" man="1"/>
        <brk id="104" max="13" man="1"/>
        <brk id="105" max="16383" man="1"/>
        <brk id="106" max="16383" man="1"/>
        <brk id="107" max="16383" man="1"/>
        <brk id="108" max="16383" man="1"/>
        <brk id="109" max="16383" man="1"/>
        <brk id="110" max="13" man="1"/>
        <brk id="111" max="16383" man="1"/>
        <brk id="112" max="16383" man="1"/>
        <brk id="113" max="16383" man="1"/>
        <brk id="114" max="16383" man="1"/>
        <brk id="115" max="16383" man="1"/>
        <brk id="119" max="16383" man="1"/>
        <brk id="121" max="16383" man="1"/>
        <brk id="122" max="16383" man="1"/>
        <brk id="124" max="16383" man="1"/>
        <brk id="125" max="16383" man="1"/>
        <brk id="126" max="13" man="1"/>
        <brk id="127" max="16383" man="1"/>
        <brk id="131" max="13" man="1"/>
        <brk id="133" max="16383" man="1"/>
        <brk id="136" max="16383" man="1"/>
        <brk id="137" max="16383" man="1"/>
        <brk id="139" max="16383" man="1"/>
        <brk id="140" max="16383" man="1"/>
        <brk id="145" max="16383" man="1"/>
        <brk id="146" max="16383" man="1"/>
        <brk id="148" max="16383" man="1"/>
        <brk id="149" max="16383" man="1"/>
        <brk id="153" max="16383" man="1"/>
        <brk id="154" max="16383" man="1"/>
        <brk id="161" max="16383" man="1"/>
        <brk id="162" max="16383" man="1"/>
        <brk id="163" max="16383" man="1"/>
        <brk id="165" max="16383" man="1"/>
        <brk id="166" max="16383" man="1"/>
        <brk id="170" max="16383" man="1"/>
        <brk id="174" max="16383" man="1"/>
        <brk id="175" max="16383" man="1"/>
        <brk id="181" max="16383" man="1"/>
        <brk id="182" max="16383" man="1"/>
        <brk id="183" max="16383" man="1"/>
        <brk id="184" max="16383" man="1"/>
        <brk id="187" max="13" man="1"/>
        <brk id="191" max="16383" man="1"/>
        <brk id="192" max="16383" man="1"/>
        <brk id="193" max="16383" man="1"/>
        <brk id="197" max="16383" man="1"/>
        <brk id="198" max="16383" man="1"/>
        <brk id="201" max="16383" man="1"/>
        <brk id="204" max="16383" man="1"/>
        <brk id="206" max="16383" man="1"/>
        <brk id="207" max="16383" man="1"/>
        <brk id="210" max="16383" man="1"/>
        <brk id="211" max="16383" man="1"/>
        <brk id="212" max="16383" man="1"/>
        <brk id="215" max="16383" man="1"/>
        <brk id="216" max="16383" man="1"/>
        <brk id="217" max="16383" man="1"/>
        <brk id="218" max="16383" man="1"/>
        <brk id="219" max="16383" man="1"/>
        <brk id="222" max="16383" man="1"/>
        <brk id="223" max="16383" man="1"/>
        <brk id="225" max="16383" man="1"/>
        <brk id="226" max="16383" man="1"/>
        <brk id="239" max="16383" man="1"/>
        <brk id="240" max="16383" man="1"/>
        <brk id="243" max="16383" man="1"/>
      </rowBreaks>
      <pageMargins left="0.27559055118110237" right="0.15748031496062992" top="0.31496062992125984" bottom="0.39370078740157483" header="0.15748031496062992" footer="0.19685039370078741"/>
      <pageSetup paperSize="9" scale="84" fitToHeight="13" orientation="landscape" blackAndWhite="1" horizontalDpi="4294967292" verticalDpi="4294967292" r:id="rId5"/>
      <headerFooter alignWithMargins="0">
        <oddFooter>&amp;R&amp;"Arial Narrow,обычный"&amp;8Лист &amp;P из &amp;N</oddFooter>
      </headerFooter>
    </customSheetView>
    <customSheetView guid="{14B9A1CF-2355-4181-A84E-C897271F378C}" scale="130" showPageBreaks="1" printArea="1" hiddenRows="1" view="pageBreakPreview" showRuler="0" topLeftCell="A92">
      <selection activeCell="C83" sqref="C83"/>
      <pageMargins left="0.27559055118110237" right="0.19685039370078741" top="0.31496062992125984" bottom="0.39370078740157483" header="0.15748031496062992" footer="0.19685039370078741"/>
      <pageSetup paperSize="9" scale="75" fitToHeight="11" orientation="landscape" blackAndWhite="1" horizontalDpi="4294967292" verticalDpi="4294967292" r:id="rId6"/>
      <headerFooter alignWithMargins="0">
        <oddFooter>&amp;R&amp;"Arial Narrow,обычный"&amp;8Лист &amp;P из &amp;N</oddFooter>
      </headerFooter>
    </customSheetView>
    <customSheetView guid="{CFB674C1-F40C-43C9-AC2B-719C7269531B}" showPageBreaks="1" fitToPage="1" printArea="1" hiddenRows="1" showRuler="0">
      <pane xSplit="2" ySplit="4" topLeftCell="C17" activePane="bottomRight" state="frozenSplit"/>
      <selection pane="bottomRight" activeCell="K17" sqref="K17"/>
      <rowBreaks count="98" manualBreakCount="98">
        <brk id="13" max="13" man="1"/>
        <brk id="14" max="16383" man="1"/>
        <brk id="15" max="1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5" max="1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scale="99" fitToHeight="14" orientation="landscape" blackAndWhite="1" horizontalDpi="4294967292" verticalDpi="4294967292" r:id="rId7"/>
      <headerFooter alignWithMargins="0">
        <oddFooter>&amp;R&amp;"Arial Narrow,обычный"&amp;8Лист &amp;P из &amp;N</oddFooter>
      </headerFooter>
    </customSheetView>
    <customSheetView guid="{E64E5F61-FD5E-11DA-AA5B-0004761D6C8E}" fitToPage="1" printArea="1" hiddenRows="1" showRuler="0">
      <pane xSplit="2" ySplit="4" topLeftCell="C107" activePane="bottomRight" state="frozenSplit"/>
      <selection pane="bottomRight" activeCell="D112" sqref="D112"/>
      <rowBreaks count="96" manualBreakCount="96">
        <brk id="13" max="13" man="1"/>
        <brk id="14" max="1638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fitToHeight="14" orientation="landscape" blackAndWhite="1" horizontalDpi="4294967292" verticalDpi="4294967292" r:id="rId8"/>
      <headerFooter alignWithMargins="0">
        <oddFooter>&amp;R&amp;"Arial Narrow,обычный"&amp;8Лист &amp;P из &amp;N</oddFooter>
      </headerFooter>
    </customSheetView>
    <customSheetView guid="{D8CBB260-8D05-11D7-88E1-00C0268016AF}" scale="120" showPageBreaks="1" showRuler="0">
      <pane xSplit="2" ySplit="4" topLeftCell="C5" activePane="bottomRight" state="frozenSplit"/>
      <selection pane="bottomRight" activeCell="A4" sqref="A4"/>
      <pageMargins left="0.42" right="0.17" top="0.23" bottom="0.28000000000000003" header="0.15748031496062992" footer="0.17"/>
      <pageSetup paperSize="9" orientation="landscape" blackAndWhite="1" horizontalDpi="4294967292" verticalDpi="4294967292" r:id="rId9"/>
      <headerFooter alignWithMargins="0">
        <oddFooter>&amp;R&amp;"Arial Narrow,обычный"&amp;8Лист &amp;P из &amp;N</oddFooter>
      </headerFooter>
    </customSheetView>
    <customSheetView guid="{97B5DCE1-CCA4-11D7-B6CC-0007E980B7D4}" showPageBreaks="1" fitToPage="1" printArea="1" hiddenRows="1" view="pageBreakPreview" showRuler="0">
      <pane xSplit="2" ySplit="4" topLeftCell="C162" activePane="bottomRight" state="frozenSplit"/>
      <selection pane="bottomRight" activeCell="B10" sqref="B10"/>
      <rowBreaks count="11" manualBreakCount="11">
        <brk id="12" max="13" man="1"/>
        <brk id="24" max="13" man="1"/>
        <brk id="36" max="13" man="1"/>
        <brk id="42" max="13" man="1"/>
        <brk id="56" max="13" man="1"/>
        <brk id="67" max="13" man="1"/>
        <brk id="72" max="13" man="1"/>
        <brk id="80" max="13" man="1"/>
        <brk id="105" max="13" man="1"/>
        <brk id="130" max="13" man="1"/>
        <brk id="157" max="13" man="1"/>
      </rowBreaks>
      <pageMargins left="0.27559055118110237" right="0.19685039370078741" top="0.31496062992125984" bottom="0.31496062992125984" header="0.15748031496062992" footer="0.19685039370078741"/>
      <pageSetup paperSize="9" scale="97" fitToHeight="0" orientation="landscape" horizontalDpi="4294967292" verticalDpi="4294967292" r:id="rId10"/>
      <headerFooter alignWithMargins="0">
        <oddFooter>&amp;R&amp;"Arial Narrow,обычный"&amp;8Лист &amp;P из &amp;N</oddFooter>
      </headerFooter>
    </customSheetView>
    <customSheetView guid="{14012921-CBF7-11D7-980F-000102998381}" showPageBreaks="1" showRuler="0">
      <pane xSplit="2" ySplit="4" topLeftCell="D1" activePane="bottomRight"/>
      <selection pane="bottomRight" activeCell="E13" sqref="E13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1"/>
      <headerFooter alignWithMargins="0">
        <oddFooter>&amp;R&amp;"Arial Narrow,обычный"&amp;8Лист &amp;P из &amp;N</oddFooter>
      </headerFooter>
    </customSheetView>
    <customSheetView guid="{B0C63354-C39E-4697-B077-F68D4BA3474A}" showPageBreaks="1" showRuler="0">
      <pane xSplit="2" ySplit="4" topLeftCell="I187" activePane="bottomRight" state="frozenSplit"/>
      <selection pane="bottomRight" activeCell="K197" sqref="K197"/>
      <pageMargins left="0.27" right="0.2" top="0.32" bottom="0.32" header="0.17" footer="0.19"/>
      <pageSetup paperSize="9" orientation="landscape" horizontalDpi="4294967292" verticalDpi="4294967292" r:id="rId12"/>
      <headerFooter alignWithMargins="0">
        <oddFooter>&amp;R&amp;"Arial Narrow,обычный"&amp;8Лист &amp;P из &amp;N</oddFooter>
      </headerFooter>
    </customSheetView>
    <customSheetView guid="{8F58F720-5478-11D7-8E43-00002120D636}" showPageBreaks="1" printArea="1" showRuler="0">
      <pane xSplit="2" ySplit="4" topLeftCell="C90" activePane="bottomRight" state="frozenSplit"/>
      <selection pane="bottomRight" activeCell="E96" sqref="E96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3"/>
      <headerFooter alignWithMargins="0">
        <oddFooter>&amp;R&amp;"Arial Narrow,обычный"&amp;8Лист &amp;P из &amp;N</oddFooter>
      </headerFooter>
    </customSheetView>
    <customSheetView guid="{92DADDC1-9BFC-11D7-B114-000102998381}" showRuler="0">
      <pane xSplit="2" ySplit="4" topLeftCell="D88" activePane="bottomRight" state="frozenSplit"/>
      <selection pane="bottomRight" activeCell="N98" sqref="N98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4"/>
      <headerFooter alignWithMargins="0">
        <oddFooter>&amp;R&amp;"Arial Narrow,обычный"&amp;8Лист &amp;P из &amp;N</oddFooter>
      </headerFooter>
    </customSheetView>
    <customSheetView guid="{CD228F81-555E-11D7-A5BE-0050BF58DBA5}" showPageBreaks="1" showRuler="0">
      <pane xSplit="2" ySplit="4" topLeftCell="K86" activePane="bottomRight" state="frozenSplit"/>
      <selection pane="bottomRight" activeCell="N91" sqref="N91"/>
      <pageMargins left="0.27" right="0.2" top="0.32" bottom="0.32" header="0.17" footer="0.19"/>
      <pageSetup paperSize="9" orientation="landscape" horizontalDpi="4294967292" verticalDpi="4294967292" r:id="rId15"/>
      <headerFooter alignWithMargins="0">
        <oddFooter>&amp;R&amp;"Arial Narrow,обычный"&amp;8Лист &amp;P из &amp;N</oddFooter>
      </headerFooter>
    </customSheetView>
    <customSheetView guid="{DCFE9E60-5475-11D7-802E-0050224027E0}" showPageBreaks="1" showRuler="0">
      <pane xSplit="2" ySplit="4" topLeftCell="K180" activePane="bottomRight" state="frozenSplit"/>
      <selection pane="bottomRight" activeCell="K193" sqref="K193"/>
      <pageMargins left="0.27" right="0.2" top="0.32" bottom="0.32" header="0.17" footer="0.19"/>
      <pageSetup paperSize="9" orientation="landscape" horizontalDpi="4294967292" verticalDpi="4294967292" r:id="rId16"/>
      <headerFooter alignWithMargins="0">
        <oddFooter>&amp;R&amp;"Arial Narrow,обычный"&amp;8Лист &amp;P из &amp;N</oddFooter>
      </headerFooter>
    </customSheetView>
    <customSheetView guid="{AE4F8834-9834-4486-A1C0-FEF04E11EC4A}" showRuler="0">
      <pane xSplit="2" ySplit="4" topLeftCell="C167" activePane="bottomRight" state="frozenSplit"/>
      <selection pane="bottomRight" activeCell="E184" sqref="E184"/>
      <pageMargins left="0.27" right="0.2" top="0.32" bottom="0.32" header="0.17" footer="0.19"/>
      <pageSetup paperSize="9" orientation="landscape" horizontalDpi="4294967292" verticalDpi="4294967292" r:id="rId17"/>
      <headerFooter alignWithMargins="0">
        <oddFooter>&amp;R&amp;"Arial Narrow,обычный"&amp;8Лист &amp;P из &amp;N</oddFooter>
      </headerFooter>
    </customSheetView>
    <customSheetView guid="{735893B7-5E6F-4E87-8F79-7422E435EC59}" scale="90" showPageBreaks="1" printArea="1" showRuler="0">
      <pane xSplit="2" ySplit="6" topLeftCell="C109" activePane="bottomRight" state="frozen"/>
      <selection pane="bottomRight" activeCell="B95" sqref="B95"/>
      <colBreaks count="2" manualBreakCount="2">
        <brk id="13" max="208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scale="94" orientation="landscape" horizontalDpi="4294967292" verticalDpi="4294967292" r:id="rId18"/>
      <headerFooter alignWithMargins="0">
        <oddFooter>&amp;R&amp;"Arial Narrow,обычный"&amp;8Лист &amp;P из &amp;N</oddFooter>
      </headerFooter>
    </customSheetView>
    <customSheetView guid="{88FCA060-646D-11D8-9232-00C0268CB387}" showPageBreaks="1" printArea="1" hiddenRows="1" view="pageBreakPreview" showRuler="0">
      <pane xSplit="2" ySplit="4" topLeftCell="C75" activePane="bottomRight" state="frozenSplit"/>
      <selection pane="bottomRight" activeCell="K78" sqref="K78"/>
      <rowBreaks count="16" manualBreakCount="16">
        <brk id="12" max="13" man="1"/>
        <brk id="24" max="13" man="1"/>
        <brk id="36" max="13" man="1"/>
        <brk id="42" max="13" man="1"/>
        <brk id="52" max="13" man="1"/>
        <brk id="53" max="13" man="1"/>
        <brk id="60" max="13" man="1"/>
        <brk id="61" max="13" man="1"/>
        <brk id="71" max="13" man="1"/>
        <brk id="78" max="13" man="1"/>
        <brk id="79" max="13" man="1"/>
        <brk id="80" max="16383" man="1"/>
        <brk id="105" max="13" man="1"/>
        <brk id="128" max="13" man="1"/>
        <brk id="131" max="13" man="1"/>
        <brk id="158" max="13" man="1"/>
      </rowBreaks>
      <colBreaks count="2" manualBreakCount="2">
        <brk id="13" max="177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fitToHeight="15" orientation="landscape" horizontalDpi="4294967292" verticalDpi="4294967292" r:id="rId19"/>
      <headerFooter alignWithMargins="0">
        <oddFooter>&amp;R&amp;"Arial Narrow,обычный"&amp;8Лист &amp;P из &amp;N</oddFooter>
      </headerFooter>
    </customSheetView>
    <customSheetView guid="{3EDC6120-9ECF-11DA-86FE-0007E980B6BD}" showPageBreaks="1" fitToPage="1" showRuler="0">
      <pane xSplit="2" ySplit="4" topLeftCell="C176" activePane="bottomRight" state="frozenSplit"/>
      <selection pane="bottomRight" activeCell="D185" sqref="D185"/>
      <rowBreaks count="90" manualBreakCount="90">
        <brk id="13" max="16383" man="1"/>
        <brk id="14" max="16383" man="1"/>
        <brk id="21" max="13" man="1"/>
        <brk id="26" max="16383" man="1"/>
        <brk id="27" max="16383" man="1"/>
        <brk id="28" max="16383" man="1"/>
        <brk id="29" max="13" man="1"/>
        <brk id="30" max="13" man="1"/>
        <brk id="38" max="13" man="1"/>
        <brk id="39" max="16383" man="1"/>
        <brk id="40" max="16383" man="1"/>
        <brk id="42" max="16383" man="1"/>
        <brk id="43" max="13" man="1"/>
        <brk id="44" max="16383" man="1"/>
        <brk id="45" max="13" man="1"/>
        <brk id="47" max="13" man="1"/>
        <brk id="48" max="16383" man="1"/>
        <brk id="49" max="16383" man="1"/>
        <brk id="52" max="16383" man="1"/>
        <brk id="53" max="13" man="1"/>
        <brk id="54" max="16383" man="1"/>
        <brk id="55" max="13" man="1"/>
        <brk id="56" max="16383" man="1"/>
        <brk id="59" max="16383" man="1"/>
        <brk id="63" max="13" man="1"/>
        <brk id="64" max="16383" man="1"/>
        <brk id="65" max="13" man="1"/>
        <brk id="66" max="16383" man="1"/>
        <brk id="67" max="13" man="1"/>
        <brk id="68" max="16383" man="1"/>
        <brk id="69" max="16383" man="1"/>
        <brk id="72" max="13" man="1"/>
        <brk id="74" max="13" man="1"/>
        <brk id="75" max="16383" man="1"/>
        <brk id="76" max="16383" man="1"/>
        <brk id="77" max="16383" man="1"/>
        <brk id="79" max="13" man="1"/>
        <brk id="82" max="13" man="1"/>
        <brk id="86" max="13" man="1"/>
        <brk id="87" max="13" man="1"/>
        <brk id="88" max="16383" man="1"/>
        <brk id="89" max="16383" man="1"/>
        <brk id="90" max="16383" man="1"/>
        <brk id="92" max="13" man="1"/>
        <brk id="93" max="13" man="1"/>
        <brk id="94" max="13" man="1"/>
        <brk id="95" max="16383" man="1"/>
        <brk id="96" max="13" man="1"/>
        <brk id="98" max="16383" man="1"/>
        <brk id="103" max="16383" man="1"/>
        <brk id="104" max="13" man="1"/>
        <brk id="106" max="13" man="1"/>
        <brk id="111" max="13" man="1"/>
        <brk id="112" max="16383" man="1"/>
        <brk id="114" max="16383" man="1"/>
        <brk id="118" max="16383" man="1"/>
        <brk id="119" max="16383" man="1"/>
        <brk id="121" max="13" man="1"/>
        <brk id="122" max="13" man="1"/>
        <brk id="123" max="13" man="1"/>
        <brk id="124" max="13" man="1"/>
        <brk id="125" max="13" man="1"/>
        <brk id="132" max="16383" man="1"/>
        <brk id="135" max="13" man="1"/>
        <brk id="137" max="13" man="1"/>
        <brk id="143" max="16383" man="1"/>
        <brk id="144" max="16383" man="1"/>
        <brk id="146" max="16383" man="1"/>
        <brk id="147" max="16383" man="1"/>
        <brk id="149" max="16383" man="1"/>
        <brk id="151" max="16383" man="1"/>
        <brk id="153" max="13" man="1"/>
        <brk id="155" max="13" man="1"/>
        <brk id="156" max="13" man="1"/>
        <brk id="163" max="13" man="1"/>
        <brk id="164" max="16383" man="1"/>
        <brk id="166" max="13" man="1"/>
        <brk id="172" max="13" man="1"/>
        <brk id="175" max="13" man="1"/>
        <brk id="176" max="13" man="1"/>
        <brk id="177" max="16383" man="1"/>
        <brk id="179" max="13" man="1"/>
        <brk id="180" max="13" man="1"/>
        <brk id="181" max="16383" man="1"/>
        <brk id="182" max="16383" man="1"/>
        <brk id="183" max="13" man="1"/>
        <brk id="184" max="13" man="1"/>
        <brk id="193" max="16383" man="1"/>
        <brk id="206" max="13" man="1"/>
        <brk id="223" max="16383" man="1"/>
      </rowBreaks>
      <pageMargins left="0.27559055118110237" right="0.19685039370078741" top="0.33" bottom="0.4" header="0.15748031496062992" footer="0.19685039370078741"/>
      <pageSetup paperSize="9" scale="85" fitToHeight="18" orientation="landscape" blackAndWhite="1" horizontalDpi="4294967292" verticalDpi="4294967292" r:id="rId20"/>
      <headerFooter alignWithMargins="0">
        <oddFooter>&amp;R&amp;"Arial Narrow,обычный"&amp;8Лист &amp;P из &amp;N</oddFooter>
      </headerFooter>
    </customSheetView>
    <customSheetView guid="{A91D99C2-8122-48C0-91AB-172E51C62B1D}" showPageBreaks="1" fitToPage="1" printArea="1" hiddenRows="1" showRuler="0" topLeftCell="B1">
      <pane ySplit="4" topLeftCell="A5" activePane="bottomLeft" state="frozen"/>
      <selection pane="bottomLeft" activeCell="B14" sqref="B14"/>
      <rowBreaks count="20" manualBreakCount="20">
        <brk id="14" max="13" man="1"/>
        <brk id="28" max="13" man="1"/>
        <brk id="43" max="16383" man="1"/>
        <brk id="52" max="13" man="1"/>
        <brk id="53" max="13" man="1"/>
        <brk id="63" max="16383" man="1"/>
        <brk id="76" max="16383" man="1"/>
        <brk id="92" max="13" man="1"/>
        <brk id="98" max="13" man="1"/>
        <brk id="99" max="13" man="1"/>
        <brk id="108" max="13" man="1"/>
        <brk id="114" max="13" man="1"/>
        <brk id="130" max="13" man="1"/>
        <brk id="132" max="13" man="1"/>
        <brk id="171" max="13" man="1"/>
        <brk id="173" max="13" man="1"/>
        <brk id="206" max="13" man="1"/>
        <brk id="209" max="13" man="1"/>
        <brk id="231" max="13" man="1"/>
        <brk id="239" max="16383" man="1"/>
      </rowBreaks>
      <colBreaks count="1" manualBreakCount="1">
        <brk id="14" max="1048575" man="1"/>
      </colBreaks>
      <pageMargins left="0.19685039370078741" right="0.19685039370078741" top="0.31496062992125984" bottom="0.39370078740157483" header="0.15748031496062992" footer="0.19685039370078741"/>
      <pageSetup paperSize="9" scale="95" fitToHeight="17" orientation="landscape" blackAndWhite="1" horizontalDpi="4294967292" verticalDpi="4294967292" r:id="rId21"/>
      <headerFooter alignWithMargins="0">
        <oddFooter>&amp;R&amp;"Arial Narrow,обычный"&amp;8Лист &amp;P из &amp;N</oddFooter>
      </headerFooter>
    </customSheetView>
    <customSheetView guid="{10971261-6A6B-11D7-802E-0050224027E0}" showPageBreaks="1" fitToPage="1" printArea="1" view="pageBreakPreview" showRuler="0">
      <pane xSplit="2" ySplit="4" topLeftCell="C214" activePane="bottomRight" state="frozenSplit"/>
      <selection pane="bottomRight" activeCell="C201" sqref="C201"/>
      <rowBreaks count="67" manualBreakCount="67">
        <brk id="12" max="13" man="1"/>
        <brk id="13" max="13" man="1"/>
        <brk id="14" max="13" man="1"/>
        <brk id="19" max="13" man="1"/>
        <brk id="20" max="13" man="1"/>
        <brk id="23" max="13" man="1"/>
        <brk id="25" max="13" man="1"/>
        <brk id="26" max="13" man="1"/>
        <brk id="29" max="13" man="1"/>
        <brk id="32" max="13" man="1"/>
        <brk id="34" max="13" man="1"/>
        <brk id="37" max="13" man="1"/>
        <brk id="39" max="13" man="1"/>
        <brk id="40" max="13" man="1"/>
        <brk id="42" max="13" man="1"/>
        <brk id="45" max="13" man="1"/>
        <brk id="47" max="13" man="1"/>
        <brk id="50" max="13" man="1"/>
        <brk id="51" max="13" man="1"/>
        <brk id="55" max="13" man="1"/>
        <brk id="57" max="13" man="1"/>
        <brk id="58" max="13" man="1"/>
        <brk id="60" max="13" man="1"/>
        <brk id="61" max="13" man="1"/>
        <brk id="66" max="13" man="1"/>
        <brk id="68" max="13" man="1"/>
        <brk id="69" max="13" man="1"/>
        <brk id="70" max="13" man="1"/>
        <brk id="71" max="13" man="1"/>
        <brk id="74" max="13" man="1"/>
        <brk id="75" max="13" man="1"/>
        <brk id="77" max="13" man="1"/>
        <brk id="83" max="13" man="1"/>
        <brk id="85" max="13" man="1"/>
        <brk id="91" max="13" man="1"/>
        <brk id="93" max="13" man="1"/>
        <brk id="98" max="13" man="1"/>
        <brk id="99" max="13" man="1"/>
        <brk id="100" max="13" man="1"/>
        <brk id="102" max="13" man="1"/>
        <brk id="106" max="13" man="1"/>
        <brk id="107" max="13" man="1"/>
        <brk id="110" max="13" man="1"/>
        <brk id="112" max="13" man="1"/>
        <brk id="115" max="13" man="1"/>
        <brk id="117" max="13" man="1"/>
        <brk id="119" max="13" man="1"/>
        <brk id="127" max="13" man="1"/>
        <brk id="129" max="13" man="1"/>
        <brk id="130" max="13" man="1"/>
        <brk id="140" max="13" man="1"/>
        <brk id="147" max="13" man="1"/>
        <brk id="148" max="13" man="1"/>
        <brk id="160" max="13" man="1"/>
        <brk id="161" max="13" man="1"/>
        <brk id="163" max="13" man="1"/>
        <brk id="167" max="13" man="1"/>
        <brk id="182" max="13" man="1"/>
        <brk id="190" max="13" man="1"/>
        <brk id="191" max="13" man="1"/>
        <brk id="192" max="13" man="1"/>
        <brk id="210" max="13" man="1"/>
        <brk id="215" max="13" man="1"/>
        <brk id="216" max="13" man="1"/>
        <brk id="227" max="13" man="1"/>
        <brk id="232" max="13" man="1"/>
        <brk id="233" max="13" man="1"/>
      </rowBreaks>
      <pageMargins left="0.27559055118110237" right="0.19685039370078741" top="0.33" bottom="0.4" header="0.15748031496062992" footer="0.19685039370078741"/>
      <pageSetup paperSize="9" scale="95" fitToHeight="18" orientation="landscape" blackAndWhite="1" horizontalDpi="4294967292" verticalDpi="4294967292" r:id="rId22"/>
      <headerFooter alignWithMargins="0">
        <oddFooter>&amp;R&amp;"Arial Narrow,обычный"&amp;8Лист &amp;P из &amp;N</oddFooter>
      </headerFooter>
    </customSheetView>
    <customSheetView guid="{4F278C51-CC0C-4908-B19B-FD853FE30C23}" showPageBreaks="1" fitToPage="1" printArea="1" hiddenRows="1" view="pageBreakPreview" showRuler="0">
      <pane ySplit="4" topLeftCell="A5" activePane="bottomLeft" state="frozen"/>
      <selection pane="bottomLeft" activeCell="A17" activeCellId="15" sqref="A92:IV92 A89:IV89 A85:IV86 A74:IV75 A64:IV64 A61:IV61 A54:IV56 A46:IV46 A43:IV43 A41:IV41 A37:IV37 A35:IV35 A34:IV34 A25:IV26 A23:IV23 A16:IV17"/>
      <pageMargins left="0.19685039370078741" right="0.19685039370078741" top="0.31496062992125984" bottom="0.39370078740157483" header="0.15748031496062992" footer="0.19685039370078741"/>
      <pageSetup paperSize="9" scale="94" fitToHeight="0" orientation="landscape" blackAndWhite="1" horizontalDpi="4294967292" verticalDpi="4294967292" r:id="rId23"/>
      <headerFooter alignWithMargins="0">
        <oddFooter>&amp;R&amp;"Arial Narrow,обычный"&amp;8Лист &amp;P из &amp;N</oddFooter>
      </headerFooter>
    </customSheetView>
    <customSheetView guid="{19D3A214-C4D6-4FE6-9A50-A9E846DFEC72}" fitToPage="1" printArea="1" view="pageBreakPreview" showRuler="0" topLeftCell="A43">
      <selection activeCell="C68" sqref="C68"/>
      <rowBreaks count="97" manualBreakCount="97">
        <brk id="13" max="10" man="1"/>
        <brk id="15" max="10" man="1"/>
        <brk id="17" max="16383" man="1"/>
        <brk id="22" max="10" man="1"/>
        <brk id="25" max="10" man="1"/>
        <brk id="27" max="10" man="1"/>
        <brk id="28" max="10" man="1"/>
        <brk id="29" max="10" man="1"/>
        <brk id="30" max="10" man="1"/>
        <brk id="31" max="10" man="1"/>
        <brk id="32" max="10" man="1"/>
        <brk id="34" max="10" man="1"/>
        <brk id="36" max="16383" man="1"/>
        <brk id="38" max="10" man="1"/>
        <brk id="39" max="10" man="1"/>
        <brk id="41" max="10" man="1"/>
        <brk id="43" max="10" man="1"/>
        <brk id="44" max="16383" man="1"/>
        <brk id="45" max="10" man="1"/>
        <brk id="47" max="10" man="1"/>
        <brk id="48" max="10" man="1"/>
        <brk id="49" max="10" man="1"/>
        <brk id="50" max="10" man="1"/>
        <brk id="51" max="16383" man="1"/>
        <brk id="53" max="10" man="1"/>
        <brk id="54" max="10" man="1"/>
        <brk id="55" max="10" man="1"/>
        <brk id="56" max="10" man="1"/>
        <brk id="59" max="10" man="1"/>
        <brk id="63" max="10" man="1"/>
        <brk id="64" max="10" man="1"/>
        <brk id="65" max="16383" man="1"/>
        <brk id="66" max="10" man="1"/>
        <brk id="67" max="16383" man="1"/>
        <brk id="68" max="10" man="1"/>
        <brk id="69" max="10" man="1"/>
        <brk id="70" max="10" man="1"/>
        <brk id="71" max="10" man="1"/>
        <brk id="72" max="10" man="1"/>
        <brk id="73" max="10" man="1"/>
        <brk id="74" max="10" man="1"/>
        <brk id="76" max="16383" man="1"/>
        <brk id="77" max="10" man="1"/>
        <brk id="78" max="10" man="1"/>
        <brk id="79" max="10" man="1"/>
        <brk id="81" max="16383" man="1"/>
        <brk id="82" max="10" man="1"/>
        <brk id="83" max="10" man="1"/>
        <brk id="84" max="10" man="1"/>
        <brk id="85" max="10" man="1"/>
        <brk id="87" max="10" man="1"/>
        <brk id="88" max="10" man="1"/>
        <brk id="90" max="10" man="1"/>
        <brk id="91" max="16383" man="1"/>
        <brk id="92" max="10" man="1"/>
        <brk id="94" max="10" man="1"/>
        <brk id="95" max="10" man="1"/>
        <brk id="96" max="10" man="1"/>
        <brk id="97" max="16383" man="1"/>
        <brk id="99" max="10" man="1"/>
        <brk id="100" max="10" man="1"/>
        <brk id="101" max="10" man="1"/>
        <brk id="103" max="10" man="1"/>
        <brk id="104" max="16383" man="1"/>
        <brk id="105" max="16383" man="1"/>
        <brk id="107" max="10" man="1"/>
        <brk id="108" max="13" man="1"/>
        <brk id="109" max="16383" man="1"/>
        <brk id="110" max="13" man="1"/>
        <brk id="112" max="13" man="1"/>
        <brk id="115" max="13" man="1"/>
        <brk id="116" max="13" man="1"/>
        <brk id="118" max="13" man="1"/>
        <brk id="119" max="13" man="1"/>
        <brk id="126" max="13" man="1"/>
        <brk id="132" max="13" man="1"/>
        <brk id="133" max="13" man="1"/>
        <brk id="134" max="13" man="1"/>
        <brk id="137" max="13" man="1"/>
        <brk id="138" max="16383" man="1"/>
        <brk id="141" max="13" man="1"/>
        <brk id="143" max="16383" man="1"/>
        <brk id="145" max="16383" man="1"/>
        <brk id="146" max="13" man="1"/>
        <brk id="147" max="13" man="1"/>
        <brk id="148" max="13" man="1"/>
        <brk id="154" max="13" man="1"/>
        <brk id="156" max="13" man="1"/>
        <brk id="161" max="13" man="1"/>
        <brk id="163" max="13" man="1"/>
        <brk id="166" max="13" man="1"/>
        <brk id="168" max="13" man="1"/>
        <brk id="176" max="13" man="1"/>
        <brk id="177" max="16383" man="1"/>
        <brk id="185" max="13" man="1"/>
        <brk id="189" max="13" man="1"/>
        <brk id="197" max="13" man="1"/>
      </rowBreaks>
      <pageMargins left="0.27559055118110237" right="0.19685039370078741" top="0.33" bottom="0.4" header="0.15748031496062992" footer="0.19685039370078741"/>
      <pageSetup paperSize="9" fitToHeight="14" orientation="landscape" blackAndWhite="1" horizontalDpi="4294967292" verticalDpi="4294967292" r:id="rId24"/>
      <headerFooter alignWithMargins="0">
        <oddFooter>&amp;R&amp;"Arial Narrow,обычный"&amp;8Лист &amp;P из &amp;N</oddFooter>
      </headerFooter>
    </customSheetView>
    <customSheetView guid="{A3331C67-8A36-4D51-83F9-2D71D6F5E7BA}" fitToPage="1" showRuler="0" topLeftCell="A67">
      <selection activeCell="E107" sqref="E107"/>
      <rowBreaks count="42" manualBreakCount="42">
        <brk id="13" max="13" man="1"/>
        <brk id="15" max="16383" man="1"/>
        <brk id="19" max="13" man="1"/>
        <brk id="22" max="13" man="1"/>
        <brk id="24" max="13" man="1"/>
        <brk id="25" max="13" man="1"/>
        <brk id="26" max="16383" man="1"/>
        <brk id="28" max="13" man="1"/>
        <brk id="29" max="13" man="1"/>
        <brk id="30" max="13" man="1"/>
        <brk id="31" max="13" man="1"/>
        <brk id="32" max="16383" man="1"/>
        <brk id="34" max="13" man="1"/>
        <brk id="35" max="13" man="1"/>
        <brk id="36" max="16383" man="1"/>
        <brk id="39" max="16383" man="1"/>
        <brk id="40" max="13" man="1"/>
        <brk id="41" max="13" man="1"/>
        <brk id="42" max="13" man="1"/>
        <brk id="44" max="13" man="1"/>
        <brk id="45" max="13" man="1"/>
        <brk id="46" max="13" man="1"/>
        <brk id="47" max="13" man="1"/>
        <brk id="50" max="13" man="1"/>
        <brk id="51" max="16383" man="1"/>
        <brk id="54" max="13" man="1"/>
        <brk id="69" max="16383" man="1"/>
        <brk id="71" max="16383" man="1"/>
        <brk id="72" max="13" man="1"/>
        <brk id="73" max="13" man="1"/>
        <brk id="74" max="13" man="1"/>
        <brk id="76" max="13" man="1"/>
        <brk id="81" max="13" man="1"/>
        <brk id="83" max="13" man="1"/>
        <brk id="90" max="16383" man="1"/>
        <brk id="91" max="13" man="1"/>
        <brk id="93" max="13" man="1"/>
        <brk id="94" max="13" man="1"/>
        <brk id="97" max="13" man="1"/>
        <brk id="102" max="13" man="1"/>
        <brk id="106" max="13" man="1"/>
        <brk id="114" max="13" man="1"/>
      </rowBreaks>
      <pageMargins left="0.27559055118110237" right="0.19685039370078741" top="0.33" bottom="0.4" header="0.15748031496062992" footer="0.19685039370078741"/>
      <pageSetup paperSize="9" scale="92" fitToHeight="14" orientation="landscape" blackAndWhite="1" horizontalDpi="4294967292" verticalDpi="4294967292" r:id="rId25"/>
      <headerFooter alignWithMargins="0">
        <oddFooter>&amp;R&amp;"Arial Narrow,обычный"&amp;8Лист &amp;P из &amp;N</oddFooter>
      </headerFooter>
    </customSheetView>
    <customSheetView guid="{DD5C3F45-D2CB-45EC-9051-F348430664E8}" scale="110" fitToPage="1" printArea="1" hiddenRows="1" hiddenColumns="1" showRuler="0">
      <pane ySplit="5" topLeftCell="A138" activePane="bottomLeft" state="frozenSplit"/>
      <selection pane="bottomLeft" activeCell="F153" sqref="F153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7" max="12" man="1"/>
        <brk id="78" max="12" man="1"/>
        <brk id="79" max="12" man="1"/>
        <brk id="82" max="12" man="1"/>
        <brk id="94" max="16383" man="1"/>
        <brk id="102" max="12" man="1"/>
        <brk id="103" max="16383" man="1"/>
        <brk id="106" max="12" man="1"/>
        <brk id="112" max="12" man="1"/>
        <brk id="113" max="12" man="1"/>
        <brk id="167" max="12" man="1"/>
        <brk id="175" max="12" man="1"/>
        <brk id="176" max="12" man="1"/>
        <brk id="177" max="16383" man="1"/>
        <brk id="179" max="12" man="1"/>
        <brk id="180" max="12" man="1"/>
        <brk id="183" max="16383" man="1"/>
        <brk id="184" max="16383" man="1"/>
        <brk id="187" max="13" man="1"/>
        <brk id="188" max="16383" man="1"/>
        <brk id="189" max="13" man="1"/>
        <brk id="191" max="13" man="1"/>
        <brk id="194" max="13" man="1"/>
        <brk id="195" max="13" man="1"/>
        <brk id="197" max="13" man="1"/>
        <brk id="198" max="13" man="1"/>
        <brk id="205" max="13" man="1"/>
        <brk id="211" max="13" man="1"/>
        <brk id="212" max="13" man="1"/>
        <brk id="213" max="13" man="1"/>
        <brk id="216" max="13" man="1"/>
        <brk id="217" max="16383" man="1"/>
        <brk id="220" max="13" man="1"/>
        <brk id="222" max="16383" man="1"/>
        <brk id="224" max="16383" man="1"/>
        <brk id="225" max="13" man="1"/>
        <brk id="226" max="13" man="1"/>
        <brk id="227" max="13" man="1"/>
        <brk id="233" max="13" man="1"/>
        <brk id="235" max="13" man="1"/>
        <brk id="240" max="13" man="1"/>
        <brk id="242" max="13" man="1"/>
        <brk id="245" max="13" man="1"/>
        <brk id="247" max="13" man="1"/>
        <brk id="255" max="13" man="1"/>
        <brk id="256" max="16383" man="1"/>
        <brk id="264" max="13" man="1"/>
        <brk id="268" max="13" man="1"/>
        <brk id="276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14" orientation="landscape" blackAndWhite="1" horizontalDpi="4294967292" verticalDpi="4294967292" r:id="rId26"/>
      <headerFooter alignWithMargins="0">
        <oddFooter>&amp;R&amp;"Arial Narrow,обычный"&amp;8Лист &amp;P из &amp;N</oddFooter>
      </headerFooter>
    </customSheetView>
    <customSheetView guid="{91C1DC54-C312-471D-9246-B789B002B742}" fitToPage="1" printArea="1" hiddenRows="1" showRuler="0">
      <pane ySplit="5" topLeftCell="A135" activePane="bottomLeft" state="frozenSplit"/>
      <selection pane="bottomLeft" activeCell="F148" sqref="F148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2" max="12" man="1"/>
        <brk id="53" max="12" man="1"/>
        <brk id="57" max="12" man="1"/>
        <brk id="73" max="12" man="1"/>
        <brk id="75" max="12" man="1"/>
        <brk id="76" max="12" man="1"/>
        <brk id="79" max="12" man="1"/>
        <brk id="89" max="16383" man="1"/>
        <brk id="95" max="12" man="1"/>
        <brk id="96" max="16383" man="1"/>
        <brk id="99" max="12" man="1"/>
        <brk id="105" max="12" man="1"/>
        <brk id="106" max="12" man="1"/>
        <brk id="166" max="12" man="1"/>
        <brk id="174" max="12" man="1"/>
        <brk id="175" max="12" man="1"/>
        <brk id="176" max="16383" man="1"/>
        <brk id="178" max="12" man="1"/>
        <brk id="179" max="12" man="1"/>
        <brk id="182" max="16383" man="1"/>
        <brk id="183" max="16383" man="1"/>
        <brk id="186" max="13" man="1"/>
        <brk id="187" max="16383" man="1"/>
        <brk id="188" max="13" man="1"/>
        <brk id="190" max="13" man="1"/>
        <brk id="193" max="13" man="1"/>
        <brk id="194" max="13" man="1"/>
        <brk id="196" max="13" man="1"/>
        <brk id="197" max="13" man="1"/>
        <brk id="204" max="13" man="1"/>
        <brk id="210" max="13" man="1"/>
        <brk id="211" max="13" man="1"/>
        <brk id="212" max="13" man="1"/>
        <brk id="215" max="13" man="1"/>
        <brk id="216" max="16383" man="1"/>
        <brk id="219" max="13" man="1"/>
        <brk id="221" max="16383" man="1"/>
        <brk id="223" max="16383" man="1"/>
        <brk id="224" max="13" man="1"/>
        <brk id="225" max="13" man="1"/>
        <brk id="226" max="13" man="1"/>
        <brk id="232" max="13" man="1"/>
        <brk id="234" max="13" man="1"/>
        <brk id="239" max="13" man="1"/>
        <brk id="241" max="13" man="1"/>
        <brk id="244" max="13" man="1"/>
        <brk id="246" max="13" man="1"/>
        <brk id="254" max="13" man="1"/>
        <brk id="255" max="16383" man="1"/>
        <brk id="263" max="13" man="1"/>
        <brk id="267" max="13" man="1"/>
        <brk id="275" max="13" man="1"/>
      </rowBreaks>
      <pageMargins left="0.27559055118110237" right="0.19685039370078741" top="0.31496062992125984" bottom="0.39370078740157483" header="0.15748031496062992" footer="0.19685039370078741"/>
      <pageSetup paperSize="9" scale="88" fitToHeight="14" orientation="landscape" blackAndWhite="1" horizontalDpi="4294967292" verticalDpi="4294967292" r:id="rId27"/>
      <headerFooter alignWithMargins="0">
        <oddFooter>&amp;R&amp;"Arial Narrow,обычный"&amp;8Лист &amp;P из &amp;N</oddFooter>
      </headerFooter>
    </customSheetView>
    <customSheetView guid="{C76330A2-057D-4E27-B720-532A3C304D14}" scale="110" fitToPage="1" printArea="1" hiddenRows="1" showRuler="0">
      <pane ySplit="5" topLeftCell="A38" activePane="bottomLeft" state="frozenSplit"/>
      <selection pane="bottomLeft" activeCell="A42" sqref="A42:B42"/>
      <rowBreaks count="66" manualBreakCount="66">
        <brk id="13" max="16383" man="1"/>
        <brk id="18" max="12" man="1"/>
        <brk id="21" max="12" man="1"/>
        <brk id="23" max="12" man="1"/>
        <brk id="29" max="12" man="1"/>
        <brk id="35" max="16383" man="1"/>
        <brk id="46" max="12" man="1"/>
        <brk id="47" max="12" man="1"/>
        <brk id="48" max="12" man="1"/>
        <brk id="49" max="12" man="1"/>
        <brk id="50" max="16383" man="1"/>
        <brk id="51" max="12" man="1"/>
        <brk id="52" max="12" man="1"/>
        <brk id="54" max="12" man="1"/>
        <brk id="55" max="12" man="1"/>
        <brk id="56" max="12" man="1"/>
        <brk id="60" max="12" man="1"/>
        <brk id="76" max="12" man="1"/>
        <brk id="77" max="12" man="1"/>
        <brk id="78" max="12" man="1"/>
        <brk id="81" max="12" man="1"/>
        <brk id="90" max="16383" man="1"/>
        <brk id="98" max="12" man="1"/>
        <brk id="99" max="16383" man="1"/>
        <brk id="102" max="12" man="1"/>
        <brk id="108" max="12" man="1"/>
        <brk id="109" max="12" man="1"/>
        <brk id="169" max="12" man="1"/>
        <brk id="177" max="12" man="1"/>
        <brk id="178" max="12" man="1"/>
        <brk id="179" max="16383" man="1"/>
        <brk id="181" max="12" man="1"/>
        <brk id="182" max="12" man="1"/>
        <brk id="185" max="16383" man="1"/>
        <brk id="186" max="16383" man="1"/>
        <brk id="189" max="13" man="1"/>
        <brk id="190" max="16383" man="1"/>
        <brk id="191" max="13" man="1"/>
        <brk id="193" max="13" man="1"/>
        <brk id="196" max="13" man="1"/>
        <brk id="197" max="13" man="1"/>
        <brk id="199" max="13" man="1"/>
        <brk id="200" max="13" man="1"/>
        <brk id="207" max="13" man="1"/>
        <brk id="213" max="13" man="1"/>
        <brk id="214" max="13" man="1"/>
        <brk id="215" max="13" man="1"/>
        <brk id="218" max="13" man="1"/>
        <brk id="219" max="16383" man="1"/>
        <brk id="222" max="13" man="1"/>
        <brk id="224" max="16383" man="1"/>
        <brk id="226" max="16383" man="1"/>
        <brk id="227" max="13" man="1"/>
        <brk id="228" max="13" man="1"/>
        <brk id="229" max="13" man="1"/>
        <brk id="235" max="13" man="1"/>
        <brk id="237" max="13" man="1"/>
        <brk id="242" max="13" man="1"/>
        <brk id="244" max="13" man="1"/>
        <brk id="247" max="13" man="1"/>
        <brk id="249" max="13" man="1"/>
        <brk id="257" max="13" man="1"/>
        <brk id="258" max="16383" man="1"/>
        <brk id="266" max="13" man="1"/>
        <brk id="270" max="13" man="1"/>
        <brk id="278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8"/>
      <headerFooter alignWithMargins="0">
        <oddFooter>&amp;R&amp;"Arial Narrow,обычный"&amp;8Лист &amp;P из &amp;N</oddFooter>
      </headerFooter>
    </customSheetView>
  </customSheetViews>
  <mergeCells count="12">
    <mergeCell ref="H221:H222"/>
    <mergeCell ref="J221:J222"/>
    <mergeCell ref="K221:K222"/>
    <mergeCell ref="H1:L1"/>
    <mergeCell ref="L221:L222"/>
    <mergeCell ref="A2:K2"/>
    <mergeCell ref="C221:C222"/>
    <mergeCell ref="D221:D222"/>
    <mergeCell ref="G221:G222"/>
    <mergeCell ref="E221:E222"/>
    <mergeCell ref="I221:I222"/>
    <mergeCell ref="F221:F222"/>
  </mergeCells>
  <phoneticPr fontId="0" type="noConversion"/>
  <pageMargins left="0.25" right="0.25" top="0.75" bottom="0.75" header="0.3" footer="0.3"/>
  <pageSetup paperSize="9" scale="60" fitToHeight="0" orientation="portrait" blackAndWhite="1" horizontalDpi="4294967292" verticalDpi="4294967292" r:id="rId29"/>
  <headerFooter alignWithMargins="0">
    <oddFooter>&amp;R&amp;"Arial Narrow,обычный"&amp;8Лист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Анализ бюджета</vt:lpstr>
      <vt:lpstr>Всего_доходов_2003</vt:lpstr>
      <vt:lpstr>Всего_расходов_2003</vt:lpstr>
      <vt:lpstr>'Анализ бюджета'!Заголовки_для_печати</vt:lpstr>
      <vt:lpstr>'Анализ бюджета'!Область_печати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Бюджетный отдел</dc:creator>
  <cp:lastModifiedBy>Лена</cp:lastModifiedBy>
  <cp:lastPrinted>2019-10-15T05:20:06Z</cp:lastPrinted>
  <dcterms:created xsi:type="dcterms:W3CDTF">1998-04-06T06:06:47Z</dcterms:created>
  <dcterms:modified xsi:type="dcterms:W3CDTF">2019-10-15T05:20:07Z</dcterms:modified>
</cp:coreProperties>
</file>