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60" windowWidth="12120" windowHeight="9120"/>
  </bookViews>
  <sheets>
    <sheet name="Анализ бюджета" sheetId="1" r:id="rId1"/>
  </sheets>
  <definedNames>
    <definedName name="Z_08EF82CC_B73D_4976_854E_2FADDE1EDAB4_.wvu.PrintArea" localSheetId="0" hidden="1">'Анализ бюджета'!$A$1:$L$226</definedName>
    <definedName name="Z_08EF82CC_B73D_4976_854E_2FADDE1EDAB4_.wvu.PrintTitles" localSheetId="0" hidden="1">'Анализ бюджета'!$4:$5</definedName>
    <definedName name="Z_0BD4437E_22A9_4FBD_A5E2_5BE85718F571_.wvu.PrintArea" localSheetId="0" hidden="1">'Анализ бюджета'!$A$1:$L$226</definedName>
    <definedName name="Z_0BD4437E_22A9_4FBD_A5E2_5BE85718F571_.wvu.PrintTitles" localSheetId="0" hidden="1">'Анализ бюджета'!$4:$5</definedName>
    <definedName name="Z_10971261_6A6B_11D7_802E_0050224027E0_.wvu.PrintArea" localSheetId="0" hidden="1">'Анализ бюджета'!$A$1:$K$225</definedName>
    <definedName name="Z_10971261_6A6B_11D7_802E_0050224027E0_.wvu.PrintTitles" localSheetId="0" hidden="1">'Анализ бюджета'!$4:$4</definedName>
    <definedName name="Z_14012921_CBF7_11D7_980F_000102998381_.wvu.PrintTitles" localSheetId="0" hidden="1">'Анализ бюджета'!$4:$4</definedName>
    <definedName name="Z_19D3A214_C4D6_4FE6_9A50_A9E846DFEC72_.wvu.PrintArea" localSheetId="0" hidden="1">'Анализ бюджета'!$A$1:$K$226</definedName>
    <definedName name="Z_4F278C51_CC0C_4908_B19B_FD853FE30C23_.wvu.PrintArea" localSheetId="0" hidden="1">'Анализ бюджета'!$A$1:$K$225</definedName>
    <definedName name="Z_4F278C51_CC0C_4908_B19B_FD853FE30C23_.wvu.PrintTitles" localSheetId="0" hidden="1">'Анализ бюджета'!$4:$4</definedName>
    <definedName name="Z_4F278C51_CC0C_4908_B19B_FD853FE30C23_.wvu.Rows" localSheetId="0" hidden="1">'Анализ бюджета'!#REF!,'Анализ бюджета'!$17:$17,'Анализ бюджета'!$19:$20,'Анализ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Z_6B5A71DB_8104_43F2_BE21_9362D50D2638_.wvu.PrintArea" localSheetId="0" hidden="1">'Анализ бюджета'!$A$1:$L$226</definedName>
    <definedName name="Z_6B5A71DB_8104_43F2_BE21_9362D50D2638_.wvu.PrintTitles" localSheetId="0" hidden="1">'Анализ бюджета'!$4:$5</definedName>
    <definedName name="Z_6B5A71DB_8104_43F2_BE21_9362D50D2638_.wvu.Rows" localSheetId="0" hidden="1">'Анализ бюджета'!$38:$39,'Анализ бюджета'!$46:$47,'Анализ бюджета'!$170:$170</definedName>
    <definedName name="Z_735893B7_5E6F_4E87_8F79_7422E435EC59_.wvu.PrintArea" localSheetId="0" hidden="1">'Анализ бюджета'!$A$1:$K$228</definedName>
    <definedName name="Z_7BE5A02B_F350_49A6_9913_9C71C08559EF_.wvu.Rows" localSheetId="0" hidden="1">'Анализ бюджета'!#REF!</definedName>
    <definedName name="Z_88FCA060_646D_11D8_9232_00C0268CB387_.wvu.Rows" localSheetId="0" hidden="1">'Анализ бюджета'!$30:$35</definedName>
    <definedName name="Z_8F58F720_5478_11D7_8E43_00002120D636_.wvu.PrintArea" localSheetId="0" hidden="1">'Анализ бюджета'!$A$2:$K$49</definedName>
    <definedName name="Z_8F58F720_5478_11D7_8E43_00002120D636_.wvu.PrintTitles" localSheetId="0" hidden="1">'Анализ бюджета'!$4:$4</definedName>
    <definedName name="Z_91C1DC54_C312_471D_9246_B789B002B742_.wvu.PrintArea" localSheetId="0" hidden="1">'Анализ бюджета'!$A$1:$L$226</definedName>
    <definedName name="Z_91C1DC54_C312_471D_9246_B789B002B742_.wvu.PrintTitles" localSheetId="0" hidden="1">'Анализ бюджета'!$4:$5</definedName>
    <definedName name="Z_91C1DC54_C312_471D_9246_B789B002B742_.wvu.Rows" localSheetId="0" hidden="1">'Анализ бюджета'!$38:$39,'Анализ бюджета'!$46:$47,'Анализ бюджета'!#REF!,'Анализ бюджета'!$170:$170</definedName>
    <definedName name="Z_92DADDC1_9BFC_11D7_B114_000102998381_.wvu.PrintTitles" localSheetId="0" hidden="1">'Анализ бюджета'!$4:$4</definedName>
    <definedName name="Z_97B5DCE1_CCA4_11D7_B6CC_0007E980B7D4_.wvu.PrintArea" localSheetId="0" hidden="1">'Анализ бюджета'!$A$1:$K$228</definedName>
    <definedName name="Z_97B5DCE1_CCA4_11D7_B6CC_0007E980B7D4_.wvu.Rows" localSheetId="0" hidden="1">'Анализ бюджета'!#REF!,'Анализ бюджета'!$30:$35</definedName>
    <definedName name="Z_A91D99C2_8122_48C0_91AB_172E51C62B1D_.wvu.PrintArea" localSheetId="0" hidden="1">'Анализ бюджета'!$A$1:$K$225</definedName>
    <definedName name="Z_A91D99C2_8122_48C0_91AB_172E51C62B1D_.wvu.Rows" localSheetId="0" hidden="1">'Анализ бюджета'!#REF!</definedName>
    <definedName name="Z_AE4F8834_9834_4486_A1C0_FEF04E11EC4A_.wvu.PrintTitles" localSheetId="0" hidden="1">'Анализ бюджета'!$4:$4</definedName>
    <definedName name="Z_B0C63354_C39E_4697_B077_F68D4BA3474A_.wvu.PrintTitles" localSheetId="0" hidden="1">'Анализ бюджета'!$4:$4</definedName>
    <definedName name="Z_C76330A2_057D_4E27_B720_532A3C304D14_.wvu.PrintArea" localSheetId="0" hidden="1">'Анализ бюджета'!$A$1:$L$226</definedName>
    <definedName name="Z_C76330A2_057D_4E27_B720_532A3C304D14_.wvu.PrintTitles" localSheetId="0" hidden="1">'Анализ бюджета'!$4:$5</definedName>
    <definedName name="Z_C76330A2_057D_4E27_B720_532A3C304D14_.wvu.Rows" localSheetId="0" hidden="1">'Анализ бюджета'!$170:$170</definedName>
    <definedName name="Z_CD228F81_555E_11D7_A5BE_0050BF58DBA5_.wvu.PrintTitles" localSheetId="0" hidden="1">'Анализ бюджета'!$4:$4</definedName>
    <definedName name="Z_CFB674C1_F40C_43C9_AC2B_719C7269531B_.wvu.PrintArea" localSheetId="0" hidden="1">'Анализ бюджета'!$A$1:$K$225</definedName>
    <definedName name="Z_CFB674C1_F40C_43C9_AC2B_719C7269531B_.wvu.PrintTitles" localSheetId="0" hidden="1">'Анализ бюджета'!$4:$4</definedName>
    <definedName name="Z_CFB674C1_F40C_43C9_AC2B_719C7269531B_.wvu.Rows" localSheetId="0" hidden="1">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Z_D8CBB260_8D05_11D7_88E1_00C0268016AF_.wvu.PrintTitles" localSheetId="0" hidden="1">'Анализ бюджета'!$4:$4</definedName>
    <definedName name="Z_DCFE9E60_5475_11D7_802E_0050224027E0_.wvu.PrintTitles" localSheetId="0" hidden="1">'Анализ бюджета'!$4:$4</definedName>
    <definedName name="Z_DD5C3F45_D2CB_45EC_9051_F348430664E8_.wvu.Cols" localSheetId="0" hidden="1">'Анализ бюджета'!$E:$E</definedName>
    <definedName name="Z_DD5C3F45_D2CB_45EC_9051_F348430664E8_.wvu.PrintArea" localSheetId="0" hidden="1">'Анализ бюджета'!$A$1:$L$226</definedName>
    <definedName name="Z_DD5C3F45_D2CB_45EC_9051_F348430664E8_.wvu.PrintTitles" localSheetId="0" hidden="1">'Анализ бюджета'!$4:$5</definedName>
    <definedName name="Z_DD5C3F45_D2CB_45EC_9051_F348430664E8_.wvu.Rows" localSheetId="0" hidden="1">'Анализ бюджета'!$38:$39,'Анализ бюджета'!$46:$47,'Анализ бюджета'!$170:$170</definedName>
    <definedName name="Z_E64E5F61_FD5E_11DA_AA5B_0004761D6C8E_.wvu.PrintArea" localSheetId="0" hidden="1">'Анализ бюджета'!$A$1:$K$225</definedName>
    <definedName name="Z_E64E5F61_FD5E_11DA_AA5B_0004761D6C8E_.wvu.PrintTitles" localSheetId="0" hidden="1">'Анализ бюджета'!$4:$4</definedName>
    <definedName name="Z_E64E5F61_FD5E_11DA_AA5B_0004761D6C8E_.wvu.Rows" localSheetId="0" hidden="1">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Всего_доходов_2002">'Анализ бюджета'!#REF!</definedName>
    <definedName name="Всего_доходов_2003">'Анализ бюджета'!$G$48</definedName>
    <definedName name="Всего_расходов_2002">'Анализ бюджета'!#REF!</definedName>
    <definedName name="Всего_расходов_2003">'Анализ бюджета'!$G$154</definedName>
    <definedName name="_xlnm.Print_Titles" localSheetId="0">'Анализ бюджета'!$4:$5</definedName>
    <definedName name="_xlnm.Print_Area" localSheetId="0">'Анализ бюджета'!$A$1:$L$214</definedName>
  </definedNames>
  <calcPr calcId="144525" fullPrecision="0"/>
  <customWorkbookViews>
    <customWorkbookView name="Прокопенко - Личное представление" guid="{0BD4437E-22A9-4FBD-A5E2-5BE85718F571}" mergeInterval="0" personalView="1" maximized="1" xWindow="1" yWindow="1" windowWidth="1276" windowHeight="803" activeSheetId="1"/>
    <customWorkbookView name="odegovann - Личное представление" guid="{08EF82CC-B73D-4976-854E-2FADDE1EDAB4}" mergeInterval="0" personalView="1" maximized="1" xWindow="1" yWindow="1" windowWidth="1276" windowHeight="803" activeSheetId="1"/>
    <customWorkbookView name="Степанченко Ю.В. - Личное представление" guid="{6B5A71DB-8104-43F2-BE21-9362D50D2638}" mergeInterval="0" personalView="1" maximized="1" xWindow="1" yWindow="1" windowWidth="1276" windowHeight="803" activeSheetId="1"/>
    <customWorkbookView name="Лаврушин Д.Б. - Личное представление" guid="{D467516B-79C5-4C0A-A5E2-1E73FB77BFFC}" mergeInterval="0" personalView="1" maximized="1" windowWidth="1148" windowHeight="673" activeSheetId="1"/>
    <customWorkbookView name="Budg2 - Личное представление" guid="{7BE5A02B-F350-49A6-9913-9C71C08559EF}" mergeInterval="0" personalView="1" maximized="1" windowWidth="1009" windowHeight="588" activeSheetId="1"/>
    <customWorkbookView name="Сергей Медведев - Личное представление" guid="{14B9A1CF-2355-4181-A84E-C897271F378C}" mergeInterval="0" personalView="1" maximized="1" windowWidth="1148" windowHeight="692" tabRatio="184" activeSheetId="1"/>
    <customWorkbookView name="Якушина Л.А. - Личное представление" guid="{CFB674C1-F40C-43C9-AC2B-719C7269531B}" mergeInterval="0" personalView="1" maximized="1" windowWidth="1276" windowHeight="852" activeSheetId="1"/>
    <customWorkbookView name="МФ - Личное представление" guid="{E64E5F61-FD5E-11DA-AA5B-0004761D6C8E}" mergeInterval="0" personalView="1" maximized="1" windowWidth="796" windowHeight="438" activeSheetId="1"/>
    <customWorkbookView name="Лаврушин Дмитрий Борисович - Личное представление" guid="{D8CBB260-8D05-11D7-88E1-00C0268016AF}" mergeInterval="0" personalView="1" maximized="1" windowWidth="1020" windowHeight="606" activeSheetId="1" showComments="commNone"/>
    <customWorkbookView name="* - Личное представление" guid="{97B5DCE1-CCA4-11D7-B6CC-0007E980B7D4}" mergeInterval="0" personalView="1" maximized="1" windowWidth="1020" windowHeight="606" activeSheetId="1" showComments="commIndAndComment"/>
    <customWorkbookView name="Лариса - Личное представление" guid="{14012921-CBF7-11D7-980F-000102998381}" mergeInterval="0" personalView="1" maximized="1" windowWidth="1020" windowHeight="632" activeSheetId="1"/>
    <customWorkbookView name="_ - Личное представление" guid="{B0C63354-C39E-4697-B077-F68D4BA3474A}" mergeInterval="0" personalView="1" maximized="1" windowWidth="796" windowHeight="438" activeSheetId="1" showComments="commIndAndComment"/>
    <customWorkbookView name="Elena - Личное представление" guid="{8F58F720-5478-11D7-8E43-00002120D636}" mergeInterval="0" personalView="1" maximized="1" windowWidth="796" windowHeight="438" activeSheetId="1"/>
    <customWorkbookView name="oit - Личное представление" guid="{92DADDC1-9BFC-11D7-B114-000102998381}" mergeInterval="0" personalView="1" maximized="1" windowWidth="1020" windowHeight="579" activeSheetId="1"/>
    <customWorkbookView name="Tatyana - Личное представление" guid="{CD228F81-555E-11D7-A5BE-0050BF58DBA5}" mergeInterval="0" personalView="1" maximized="1" windowWidth="796" windowHeight="438" activeSheetId="1"/>
    <customWorkbookView name="Хламова - Личное представление" guid="{DCFE9E60-5475-11D7-802E-0050224027E0}" mergeInterval="0" personalView="1" maximized="1" windowWidth="796" windowHeight="456" activeSheetId="1" showStatusbar="0"/>
    <customWorkbookView name="Athlon - Личное представление" guid="{AE4F8834-9834-4486-A1C0-FEF04E11EC4A}" mergeInterval="0" personalView="1" maximized="1" windowWidth="1020" windowHeight="587" activeSheetId="1"/>
    <customWorkbookView name="serg - Личное представление" guid="{735893B7-5E6F-4E87-8F79-7422E435EC59}" mergeInterval="0" personalView="1" maximized="1" windowWidth="636" windowHeight="341" activeSheetId="1"/>
    <customWorkbookView name="MF - Личное представление" guid="{88FCA060-646D-11D8-9232-00C0268CB387}" mergeInterval="0" personalView="1" maximized="1" windowWidth="1020" windowHeight="606" activeSheetId="1"/>
    <customWorkbookView name="Budg_2 - Личное представление" guid="{3EDC6120-9ECF-11DA-86FE-0007E980B6BD}" mergeInterval="0" personalView="1" maximized="1" windowWidth="1020" windowHeight="606" activeSheetId="1"/>
    <customWorkbookView name="Трушина О.А. - Личное представление" guid="{A91D99C2-8122-48C0-91AB-172E51C62B1D}" mergeInterval="0" personalView="1" maximized="1" windowWidth="1276" windowHeight="884" tabRatio="126" activeSheetId="1"/>
    <customWorkbookView name="user - Личное представление" guid="{10971261-6A6B-11D7-802E-0050224027E0}" mergeInterval="0" personalView="1" maximized="1" xWindow="-9" yWindow="53" windowWidth="570" windowHeight="651" activeSheetId="1" showStatusbar="0"/>
    <customWorkbookView name="Сергей - Личное представление" guid="{4F278C51-CC0C-4908-B19B-FD853FE30C23}" mergeInterval="0" personalView="1" maximized="1" xWindow="1" yWindow="1" windowWidth="1280" windowHeight="806" tabRatio="205" activeSheetId="1"/>
    <customWorkbookView name="наташа - Личное представление" guid="{19D3A214-C4D6-4FE6-9A50-A9E846DFEC72}" mergeInterval="0" personalView="1" maximized="1" windowWidth="1276" windowHeight="884" activeSheetId="1"/>
    <customWorkbookView name="Fops - Личное представление" guid="{A3331C67-8A36-4D51-83F9-2D71D6F5E7BA}" mergeInterval="0" personalView="1" maximized="1" windowWidth="1020" windowHeight="614" activeSheetId="1" showStatusbar="0"/>
    <customWorkbookView name="vohmyakovaai - Личное представление" guid="{DD5C3F45-D2CB-45EC-9051-F348430664E8}" mergeInterval="0" personalView="1" maximized="1" xWindow="1" yWindow="1" windowWidth="1276" windowHeight="803" activeSheetId="1"/>
    <customWorkbookView name="haldeevagv - Личное представление" guid="{91C1DC54-C312-471D-9246-B789B002B742}" mergeInterval="0" personalView="1" maximized="1" xWindow="1" yWindow="1" windowWidth="1148" windowHeight="643" activeSheetId="1" showComments="commIndAndComment"/>
    <customWorkbookView name="taktashovaev - Личное представление" guid="{C76330A2-057D-4E27-B720-532A3C304D14}" mergeInterval="0" personalView="1" maximized="1" xWindow="1" yWindow="1" windowWidth="1276" windowHeight="739" activeSheetId="1"/>
  </customWorkbookViews>
</workbook>
</file>

<file path=xl/calcChain.xml><?xml version="1.0" encoding="utf-8"?>
<calcChain xmlns="http://schemas.openxmlformats.org/spreadsheetml/2006/main">
  <c r="C154" i="1"/>
  <c r="D154"/>
  <c r="C145"/>
  <c r="C137"/>
  <c r="D137"/>
  <c r="D90"/>
  <c r="G162" l="1"/>
  <c r="E162"/>
  <c r="E150"/>
  <c r="D150"/>
  <c r="C150"/>
  <c r="D134" l="1"/>
  <c r="D130" s="1"/>
  <c r="K123" l="1"/>
  <c r="I123"/>
  <c r="J123"/>
  <c r="L123"/>
  <c r="L189" l="1"/>
  <c r="K189"/>
  <c r="J189"/>
  <c r="I189"/>
  <c r="E187"/>
  <c r="F187"/>
  <c r="G187"/>
  <c r="D168"/>
  <c r="E168"/>
  <c r="F168"/>
  <c r="G168"/>
  <c r="E154"/>
  <c r="G154"/>
  <c r="L171" l="1"/>
  <c r="K171"/>
  <c r="J171"/>
  <c r="I171"/>
  <c r="G103" l="1"/>
  <c r="F103"/>
  <c r="E103"/>
  <c r="D103"/>
  <c r="C103"/>
  <c r="L107"/>
  <c r="I107"/>
  <c r="J107"/>
  <c r="K107"/>
  <c r="L101"/>
  <c r="L102"/>
  <c r="K101"/>
  <c r="K102"/>
  <c r="J101"/>
  <c r="J102"/>
  <c r="I101"/>
  <c r="I102"/>
  <c r="G99"/>
  <c r="E99"/>
  <c r="D99"/>
  <c r="C99"/>
  <c r="E84" l="1"/>
  <c r="E98"/>
  <c r="G92"/>
  <c r="G84" s="1"/>
  <c r="J53"/>
  <c r="K34" l="1"/>
  <c r="K33"/>
  <c r="K31"/>
  <c r="K68"/>
  <c r="K118"/>
  <c r="K124"/>
  <c r="K132"/>
  <c r="K133"/>
  <c r="K135"/>
  <c r="L118"/>
  <c r="L122"/>
  <c r="K122"/>
  <c r="J118"/>
  <c r="J122"/>
  <c r="I118"/>
  <c r="C188" l="1"/>
  <c r="C187" s="1"/>
  <c r="D187"/>
  <c r="C169"/>
  <c r="C168" s="1"/>
  <c r="F154"/>
  <c r="I122"/>
  <c r="F150"/>
  <c r="G150"/>
  <c r="K139"/>
  <c r="L141"/>
  <c r="L142"/>
  <c r="L143"/>
  <c r="L144"/>
  <c r="L145"/>
  <c r="L139"/>
  <c r="K141"/>
  <c r="K142"/>
  <c r="K143"/>
  <c r="K144"/>
  <c r="K145"/>
  <c r="J141"/>
  <c r="J142"/>
  <c r="J143"/>
  <c r="J144"/>
  <c r="J145"/>
  <c r="J139"/>
  <c r="I141"/>
  <c r="I142"/>
  <c r="I143"/>
  <c r="I144"/>
  <c r="I145"/>
  <c r="I139"/>
  <c r="L136"/>
  <c r="I136"/>
  <c r="J136"/>
  <c r="K136"/>
  <c r="E137" l="1"/>
  <c r="F138"/>
  <c r="F137" s="1"/>
  <c r="G137"/>
  <c r="G120"/>
  <c r="F120"/>
  <c r="E120"/>
  <c r="D120"/>
  <c r="D116" s="1"/>
  <c r="D111" s="1"/>
  <c r="C120"/>
  <c r="L85"/>
  <c r="L86"/>
  <c r="L87"/>
  <c r="L88"/>
  <c r="L94"/>
  <c r="L95"/>
  <c r="L96"/>
  <c r="L97"/>
  <c r="L98"/>
  <c r="L92"/>
  <c r="K85"/>
  <c r="K86"/>
  <c r="K87"/>
  <c r="K88"/>
  <c r="K94"/>
  <c r="K95"/>
  <c r="K96"/>
  <c r="K97"/>
  <c r="K98"/>
  <c r="K92"/>
  <c r="J85"/>
  <c r="J86"/>
  <c r="J87"/>
  <c r="J88"/>
  <c r="J94"/>
  <c r="J95"/>
  <c r="J96"/>
  <c r="J97"/>
  <c r="J98"/>
  <c r="J92"/>
  <c r="I85"/>
  <c r="I86"/>
  <c r="I87"/>
  <c r="I88"/>
  <c r="I94"/>
  <c r="I95"/>
  <c r="I96"/>
  <c r="I97"/>
  <c r="I98"/>
  <c r="I92"/>
  <c r="J91" l="1"/>
  <c r="C90"/>
  <c r="C84"/>
  <c r="C82" s="1"/>
  <c r="D119"/>
  <c r="F119"/>
  <c r="F116"/>
  <c r="F111" s="1"/>
  <c r="K134"/>
  <c r="L137"/>
  <c r="J137"/>
  <c r="G130"/>
  <c r="K137"/>
  <c r="E130"/>
  <c r="I137"/>
  <c r="F82"/>
  <c r="F90"/>
  <c r="C119"/>
  <c r="C116"/>
  <c r="C111" s="1"/>
  <c r="I120"/>
  <c r="E116"/>
  <c r="E111" s="1"/>
  <c r="L120"/>
  <c r="K120"/>
  <c r="J120"/>
  <c r="G116"/>
  <c r="G111" s="1"/>
  <c r="G110" s="1"/>
  <c r="C130"/>
  <c r="G82"/>
  <c r="K91"/>
  <c r="G90"/>
  <c r="I91"/>
  <c r="E90"/>
  <c r="I90" s="1"/>
  <c r="L91"/>
  <c r="L138"/>
  <c r="I138"/>
  <c r="K138"/>
  <c r="J138"/>
  <c r="D84"/>
  <c r="D82" s="1"/>
  <c r="E82"/>
  <c r="G212"/>
  <c r="G209"/>
  <c r="E212"/>
  <c r="E209"/>
  <c r="I119" l="1"/>
  <c r="K119"/>
  <c r="L119"/>
  <c r="J119"/>
  <c r="L90"/>
  <c r="K90"/>
  <c r="J90"/>
  <c r="L67"/>
  <c r="F221"/>
  <c r="F219"/>
  <c r="F218"/>
  <c r="F217"/>
  <c r="F216"/>
  <c r="F212"/>
  <c r="F209"/>
  <c r="F202"/>
  <c r="F200"/>
  <c r="F186"/>
  <c r="F183"/>
  <c r="F167"/>
  <c r="F153"/>
  <c r="F146"/>
  <c r="F130"/>
  <c r="F78"/>
  <c r="F77" s="1"/>
  <c r="F70"/>
  <c r="F51"/>
  <c r="F46"/>
  <c r="F44"/>
  <c r="F41"/>
  <c r="F39"/>
  <c r="F35"/>
  <c r="F32"/>
  <c r="F28"/>
  <c r="F23"/>
  <c r="F19"/>
  <c r="F17"/>
  <c r="F14"/>
  <c r="F13" s="1"/>
  <c r="F11"/>
  <c r="F9"/>
  <c r="F8" s="1"/>
  <c r="L148"/>
  <c r="J148"/>
  <c r="I148"/>
  <c r="I182"/>
  <c r="J182"/>
  <c r="K182"/>
  <c r="L182"/>
  <c r="F208" l="1"/>
  <c r="F38"/>
  <c r="F22"/>
  <c r="F16"/>
  <c r="F7" s="1"/>
  <c r="F110"/>
  <c r="G78"/>
  <c r="F204" l="1"/>
  <c r="G77"/>
  <c r="F6"/>
  <c r="F48" s="1"/>
  <c r="E78"/>
  <c r="L125"/>
  <c r="K125"/>
  <c r="J125"/>
  <c r="I125"/>
  <c r="D77"/>
  <c r="L124"/>
  <c r="J124"/>
  <c r="I124"/>
  <c r="L116"/>
  <c r="K116"/>
  <c r="J116"/>
  <c r="I116"/>
  <c r="L176"/>
  <c r="L177"/>
  <c r="L174"/>
  <c r="K176"/>
  <c r="K177"/>
  <c r="K174"/>
  <c r="J176"/>
  <c r="J177"/>
  <c r="J174"/>
  <c r="L180"/>
  <c r="K180"/>
  <c r="J180"/>
  <c r="I180"/>
  <c r="I176"/>
  <c r="I177"/>
  <c r="I174"/>
  <c r="I170"/>
  <c r="F206" l="1"/>
  <c r="E110"/>
  <c r="L198"/>
  <c r="K198"/>
  <c r="J198"/>
  <c r="I198"/>
  <c r="I194"/>
  <c r="I195"/>
  <c r="J194"/>
  <c r="J195"/>
  <c r="K194"/>
  <c r="K195"/>
  <c r="L194"/>
  <c r="L195"/>
  <c r="L192"/>
  <c r="K192"/>
  <c r="J192"/>
  <c r="I192"/>
  <c r="G186"/>
  <c r="C186"/>
  <c r="D186"/>
  <c r="E186"/>
  <c r="K162"/>
  <c r="J161"/>
  <c r="J159"/>
  <c r="J158"/>
  <c r="L165"/>
  <c r="K165"/>
  <c r="J165"/>
  <c r="I165"/>
  <c r="I161"/>
  <c r="I162"/>
  <c r="J162"/>
  <c r="K161"/>
  <c r="L161"/>
  <c r="L162"/>
  <c r="L159"/>
  <c r="K159"/>
  <c r="I159"/>
  <c r="L155"/>
  <c r="J155"/>
  <c r="D35"/>
  <c r="E35"/>
  <c r="G35"/>
  <c r="C35"/>
  <c r="L37"/>
  <c r="J37"/>
  <c r="I37"/>
  <c r="H37"/>
  <c r="C14"/>
  <c r="H214"/>
  <c r="G217"/>
  <c r="D217"/>
  <c r="E217"/>
  <c r="C217"/>
  <c r="D209"/>
  <c r="C209"/>
  <c r="G216"/>
  <c r="C218"/>
  <c r="E218"/>
  <c r="D218"/>
  <c r="G218"/>
  <c r="K12"/>
  <c r="J12"/>
  <c r="I12"/>
  <c r="L12"/>
  <c r="L15"/>
  <c r="L18"/>
  <c r="L20"/>
  <c r="L21"/>
  <c r="L24"/>
  <c r="L25"/>
  <c r="L26"/>
  <c r="L27"/>
  <c r="L29"/>
  <c r="L30"/>
  <c r="L31"/>
  <c r="L33"/>
  <c r="L34"/>
  <c r="L36"/>
  <c r="L40"/>
  <c r="L42"/>
  <c r="L43"/>
  <c r="L45"/>
  <c r="L47"/>
  <c r="D39"/>
  <c r="E39"/>
  <c r="G39"/>
  <c r="D32"/>
  <c r="K32" s="1"/>
  <c r="E32"/>
  <c r="G32"/>
  <c r="D28"/>
  <c r="E28"/>
  <c r="G28"/>
  <c r="D23"/>
  <c r="E23"/>
  <c r="G23"/>
  <c r="D19"/>
  <c r="E19"/>
  <c r="G19"/>
  <c r="D17"/>
  <c r="E17"/>
  <c r="G17"/>
  <c r="D14"/>
  <c r="D13" s="1"/>
  <c r="E14"/>
  <c r="E13" s="1"/>
  <c r="G14"/>
  <c r="L14" s="1"/>
  <c r="D11"/>
  <c r="E11"/>
  <c r="G11"/>
  <c r="D9"/>
  <c r="D8" s="1"/>
  <c r="E9"/>
  <c r="E8" s="1"/>
  <c r="G9"/>
  <c r="G8" s="1"/>
  <c r="G13" l="1"/>
  <c r="L13" s="1"/>
  <c r="I11"/>
  <c r="L11"/>
  <c r="G16"/>
  <c r="L16" s="1"/>
  <c r="L17"/>
  <c r="E22"/>
  <c r="E16"/>
  <c r="E7" s="1"/>
  <c r="L39"/>
  <c r="G22"/>
  <c r="L32"/>
  <c r="L28"/>
  <c r="L23"/>
  <c r="L19"/>
  <c r="K11"/>
  <c r="D22"/>
  <c r="D16"/>
  <c r="D7" s="1"/>
  <c r="J11"/>
  <c r="C9"/>
  <c r="C28"/>
  <c r="C23"/>
  <c r="C32"/>
  <c r="J34"/>
  <c r="I34"/>
  <c r="C11"/>
  <c r="D70"/>
  <c r="E70"/>
  <c r="G70"/>
  <c r="C70"/>
  <c r="L203"/>
  <c r="K203"/>
  <c r="J203"/>
  <c r="I203"/>
  <c r="G202"/>
  <c r="E202"/>
  <c r="D202"/>
  <c r="C202"/>
  <c r="C167"/>
  <c r="D167"/>
  <c r="G7" l="1"/>
  <c r="G6" s="1"/>
  <c r="I202"/>
  <c r="E6"/>
  <c r="D6"/>
  <c r="L202"/>
  <c r="K202"/>
  <c r="J202"/>
  <c r="L147"/>
  <c r="K147"/>
  <c r="J147"/>
  <c r="I147"/>
  <c r="D110"/>
  <c r="C110"/>
  <c r="L129"/>
  <c r="K129"/>
  <c r="J129"/>
  <c r="I129"/>
  <c r="L127"/>
  <c r="K127"/>
  <c r="J127"/>
  <c r="I127"/>
  <c r="L126"/>
  <c r="K126"/>
  <c r="J126"/>
  <c r="I126"/>
  <c r="L115"/>
  <c r="K115"/>
  <c r="J115"/>
  <c r="I115"/>
  <c r="L114"/>
  <c r="K114"/>
  <c r="J114"/>
  <c r="I114"/>
  <c r="L106"/>
  <c r="K106"/>
  <c r="J106"/>
  <c r="I106"/>
  <c r="L10"/>
  <c r="L54"/>
  <c r="L53"/>
  <c r="L52"/>
  <c r="L9"/>
  <c r="K45"/>
  <c r="I45"/>
  <c r="G44"/>
  <c r="E44"/>
  <c r="I44" s="1"/>
  <c r="D44"/>
  <c r="C44"/>
  <c r="K25"/>
  <c r="J25"/>
  <c r="I25"/>
  <c r="L7" l="1"/>
  <c r="K110"/>
  <c r="L44"/>
  <c r="L35"/>
  <c r="K44"/>
  <c r="C77"/>
  <c r="L22" l="1"/>
  <c r="L151"/>
  <c r="K151"/>
  <c r="J151"/>
  <c r="I151"/>
  <c r="L81"/>
  <c r="K81"/>
  <c r="J81"/>
  <c r="I81"/>
  <c r="L59"/>
  <c r="J59"/>
  <c r="I59"/>
  <c r="J31"/>
  <c r="I31"/>
  <c r="L6" l="1"/>
  <c r="I9"/>
  <c r="I10"/>
  <c r="I15"/>
  <c r="I18"/>
  <c r="I20"/>
  <c r="I21"/>
  <c r="I24"/>
  <c r="I26"/>
  <c r="I27"/>
  <c r="I29"/>
  <c r="I30"/>
  <c r="I33"/>
  <c r="I36"/>
  <c r="I40"/>
  <c r="I42"/>
  <c r="I43"/>
  <c r="I47"/>
  <c r="J33"/>
  <c r="I32"/>
  <c r="J36"/>
  <c r="E41"/>
  <c r="I41" s="1"/>
  <c r="G41"/>
  <c r="L41" s="1"/>
  <c r="D41"/>
  <c r="C41"/>
  <c r="L8"/>
  <c r="K9"/>
  <c r="K10"/>
  <c r="K15"/>
  <c r="K18"/>
  <c r="K20"/>
  <c r="K21"/>
  <c r="K24"/>
  <c r="K26"/>
  <c r="K27"/>
  <c r="K29"/>
  <c r="K30"/>
  <c r="K40"/>
  <c r="J9"/>
  <c r="J10"/>
  <c r="J15"/>
  <c r="J18"/>
  <c r="J20"/>
  <c r="J21"/>
  <c r="J24"/>
  <c r="J26"/>
  <c r="J27"/>
  <c r="J29"/>
  <c r="J30"/>
  <c r="J40"/>
  <c r="J43"/>
  <c r="J42"/>
  <c r="K47"/>
  <c r="G46"/>
  <c r="E46"/>
  <c r="E38" s="1"/>
  <c r="D46"/>
  <c r="D38" s="1"/>
  <c r="C46"/>
  <c r="C39"/>
  <c r="H36"/>
  <c r="I35"/>
  <c r="C19"/>
  <c r="C17"/>
  <c r="C13"/>
  <c r="C8"/>
  <c r="C38" l="1"/>
  <c r="G38"/>
  <c r="L38" s="1"/>
  <c r="L46"/>
  <c r="I39"/>
  <c r="I46"/>
  <c r="I28"/>
  <c r="I23"/>
  <c r="I19"/>
  <c r="I13"/>
  <c r="I8"/>
  <c r="C22"/>
  <c r="I17"/>
  <c r="I14"/>
  <c r="J32"/>
  <c r="J35"/>
  <c r="K14"/>
  <c r="K8"/>
  <c r="K13"/>
  <c r="K17"/>
  <c r="K19"/>
  <c r="K23"/>
  <c r="K28"/>
  <c r="K39"/>
  <c r="J39"/>
  <c r="J28"/>
  <c r="J13"/>
  <c r="J23"/>
  <c r="J19"/>
  <c r="J17"/>
  <c r="J14"/>
  <c r="J8"/>
  <c r="D48"/>
  <c r="C16"/>
  <c r="C7" s="1"/>
  <c r="K46"/>
  <c r="H35"/>
  <c r="K41"/>
  <c r="G48" l="1"/>
  <c r="L48" s="1"/>
  <c r="H12"/>
  <c r="H11"/>
  <c r="E48"/>
  <c r="I16"/>
  <c r="I38"/>
  <c r="I22"/>
  <c r="C6"/>
  <c r="C48" s="1"/>
  <c r="K38"/>
  <c r="J38"/>
  <c r="K22"/>
  <c r="J22"/>
  <c r="K16"/>
  <c r="J16"/>
  <c r="I6" l="1"/>
  <c r="H34"/>
  <c r="K6"/>
  <c r="I7"/>
  <c r="K7"/>
  <c r="J7"/>
  <c r="J6"/>
  <c r="E219"/>
  <c r="H31" l="1"/>
  <c r="J45"/>
  <c r="H45"/>
  <c r="H25"/>
  <c r="H44"/>
  <c r="J44"/>
  <c r="I48"/>
  <c r="C51"/>
  <c r="I220"/>
  <c r="I218"/>
  <c r="I217"/>
  <c r="I207"/>
  <c r="I201"/>
  <c r="I199"/>
  <c r="I193"/>
  <c r="I191"/>
  <c r="I196"/>
  <c r="I188"/>
  <c r="I187"/>
  <c r="I185"/>
  <c r="I184"/>
  <c r="I181"/>
  <c r="I175"/>
  <c r="I173"/>
  <c r="I178"/>
  <c r="I169"/>
  <c r="I166"/>
  <c r="I160"/>
  <c r="I158"/>
  <c r="I163"/>
  <c r="I155"/>
  <c r="I152"/>
  <c r="I150"/>
  <c r="I146"/>
  <c r="I135"/>
  <c r="I134"/>
  <c r="I133"/>
  <c r="I132"/>
  <c r="I130"/>
  <c r="I113"/>
  <c r="I111"/>
  <c r="I109"/>
  <c r="I105"/>
  <c r="I99"/>
  <c r="I84"/>
  <c r="I82"/>
  <c r="I80"/>
  <c r="I78"/>
  <c r="I76"/>
  <c r="I74"/>
  <c r="I72"/>
  <c r="I69"/>
  <c r="I68"/>
  <c r="I67"/>
  <c r="I65"/>
  <c r="I64"/>
  <c r="I62"/>
  <c r="I61"/>
  <c r="I60"/>
  <c r="I57"/>
  <c r="I56"/>
  <c r="I54"/>
  <c r="I53"/>
  <c r="I52"/>
  <c r="D51"/>
  <c r="D216"/>
  <c r="I70" l="1"/>
  <c r="E216"/>
  <c r="E77" l="1"/>
  <c r="I77" s="1"/>
  <c r="I103"/>
  <c r="K103"/>
  <c r="J103"/>
  <c r="L103"/>
  <c r="E221" l="1"/>
  <c r="H33" l="1"/>
  <c r="H32"/>
  <c r="H41"/>
  <c r="H26"/>
  <c r="H43"/>
  <c r="H42"/>
  <c r="H47"/>
  <c r="H40"/>
  <c r="H29"/>
  <c r="H27"/>
  <c r="H24"/>
  <c r="H20"/>
  <c r="H18"/>
  <c r="H15"/>
  <c r="H9"/>
  <c r="H30"/>
  <c r="H21"/>
  <c r="H10"/>
  <c r="H8"/>
  <c r="H14"/>
  <c r="H16"/>
  <c r="H23"/>
  <c r="H46"/>
  <c r="H17"/>
  <c r="H13"/>
  <c r="H7"/>
  <c r="H19"/>
  <c r="H39"/>
  <c r="H28"/>
  <c r="H38"/>
  <c r="H22"/>
  <c r="H6"/>
  <c r="J47"/>
  <c r="J41"/>
  <c r="J46"/>
  <c r="H48"/>
  <c r="K48"/>
  <c r="J48"/>
  <c r="J160" l="1"/>
  <c r="K160"/>
  <c r="L160"/>
  <c r="D219" l="1"/>
  <c r="G219"/>
  <c r="D221"/>
  <c r="G221"/>
  <c r="I221" s="1"/>
  <c r="L220"/>
  <c r="K220"/>
  <c r="J220"/>
  <c r="L217"/>
  <c r="K217"/>
  <c r="J217"/>
  <c r="C216"/>
  <c r="C219"/>
  <c r="C221"/>
  <c r="E51"/>
  <c r="G51"/>
  <c r="L68"/>
  <c r="L199"/>
  <c r="K199"/>
  <c r="J199"/>
  <c r="L193"/>
  <c r="K193"/>
  <c r="J193"/>
  <c r="L191"/>
  <c r="K191"/>
  <c r="J191"/>
  <c r="L166"/>
  <c r="K166"/>
  <c r="J166"/>
  <c r="L158"/>
  <c r="K158"/>
  <c r="L69"/>
  <c r="K69"/>
  <c r="J69"/>
  <c r="K67"/>
  <c r="J67"/>
  <c r="J51" l="1"/>
  <c r="K218"/>
  <c r="I216"/>
  <c r="I51"/>
  <c r="I219"/>
  <c r="I186"/>
  <c r="L218"/>
  <c r="J218"/>
  <c r="K221"/>
  <c r="K219"/>
  <c r="L219"/>
  <c r="J219"/>
  <c r="K216"/>
  <c r="L216"/>
  <c r="J216"/>
  <c r="J68"/>
  <c r="J221"/>
  <c r="L221"/>
  <c r="J60" l="1"/>
  <c r="L60"/>
  <c r="J76" l="1"/>
  <c r="K76"/>
  <c r="L76"/>
  <c r="E167" l="1"/>
  <c r="G167"/>
  <c r="K167" s="1"/>
  <c r="J82"/>
  <c r="D153"/>
  <c r="E153"/>
  <c r="I154"/>
  <c r="C153"/>
  <c r="J52"/>
  <c r="K52"/>
  <c r="K53"/>
  <c r="J54"/>
  <c r="K54"/>
  <c r="J57"/>
  <c r="K57"/>
  <c r="L57"/>
  <c r="J61"/>
  <c r="K61"/>
  <c r="L61"/>
  <c r="J62"/>
  <c r="K62"/>
  <c r="L62"/>
  <c r="J64"/>
  <c r="K64"/>
  <c r="L64"/>
  <c r="J65"/>
  <c r="K65"/>
  <c r="L65"/>
  <c r="J72"/>
  <c r="K72"/>
  <c r="L72"/>
  <c r="J78"/>
  <c r="K78"/>
  <c r="L78"/>
  <c r="J80"/>
  <c r="K80"/>
  <c r="L80"/>
  <c r="K82"/>
  <c r="L82"/>
  <c r="J84"/>
  <c r="K84"/>
  <c r="L84"/>
  <c r="J99"/>
  <c r="K99"/>
  <c r="L99"/>
  <c r="J109"/>
  <c r="K109"/>
  <c r="L109"/>
  <c r="J150"/>
  <c r="L150"/>
  <c r="J152"/>
  <c r="K152"/>
  <c r="L152"/>
  <c r="J111"/>
  <c r="K111"/>
  <c r="L111"/>
  <c r="J113"/>
  <c r="K113"/>
  <c r="L113"/>
  <c r="J130"/>
  <c r="K130"/>
  <c r="L130"/>
  <c r="J132"/>
  <c r="L132"/>
  <c r="J133"/>
  <c r="L133"/>
  <c r="J134"/>
  <c r="L134"/>
  <c r="J135"/>
  <c r="L135"/>
  <c r="J146"/>
  <c r="K146"/>
  <c r="L146"/>
  <c r="K155"/>
  <c r="J163"/>
  <c r="K163"/>
  <c r="L163"/>
  <c r="J173"/>
  <c r="K173"/>
  <c r="L173"/>
  <c r="J175"/>
  <c r="K175"/>
  <c r="L175"/>
  <c r="J181"/>
  <c r="K181"/>
  <c r="L181"/>
  <c r="J169"/>
  <c r="K169"/>
  <c r="L169"/>
  <c r="J178"/>
  <c r="K178"/>
  <c r="L178"/>
  <c r="J184"/>
  <c r="K184"/>
  <c r="L184"/>
  <c r="J185"/>
  <c r="L185"/>
  <c r="J187"/>
  <c r="K187"/>
  <c r="L187"/>
  <c r="J188"/>
  <c r="K188"/>
  <c r="L188"/>
  <c r="J196"/>
  <c r="K196"/>
  <c r="L196"/>
  <c r="J201"/>
  <c r="K201"/>
  <c r="L201"/>
  <c r="J74"/>
  <c r="K74"/>
  <c r="L74"/>
  <c r="J105"/>
  <c r="K105"/>
  <c r="L105"/>
  <c r="J56"/>
  <c r="K56"/>
  <c r="L56"/>
  <c r="E183"/>
  <c r="G183"/>
  <c r="C183"/>
  <c r="D200"/>
  <c r="E200"/>
  <c r="G200"/>
  <c r="C200"/>
  <c r="C204" l="1"/>
  <c r="D204"/>
  <c r="J168"/>
  <c r="E204"/>
  <c r="I168"/>
  <c r="I200"/>
  <c r="I183"/>
  <c r="I110"/>
  <c r="K154"/>
  <c r="L168"/>
  <c r="J154"/>
  <c r="G153"/>
  <c r="K168"/>
  <c r="L154"/>
  <c r="L200"/>
  <c r="J200"/>
  <c r="L186"/>
  <c r="J186"/>
  <c r="L183"/>
  <c r="J183"/>
  <c r="L110"/>
  <c r="J110"/>
  <c r="L77"/>
  <c r="J77"/>
  <c r="L70"/>
  <c r="J70"/>
  <c r="K200"/>
  <c r="K186"/>
  <c r="K183"/>
  <c r="K153"/>
  <c r="K77"/>
  <c r="K70"/>
  <c r="I153" l="1"/>
  <c r="G204"/>
  <c r="J153"/>
  <c r="I167"/>
  <c r="J167"/>
  <c r="L167"/>
  <c r="L153"/>
  <c r="H189" l="1"/>
  <c r="H123"/>
  <c r="H107"/>
  <c r="H171"/>
  <c r="H101"/>
  <c r="H102"/>
  <c r="K204"/>
  <c r="H119"/>
  <c r="H90"/>
  <c r="H137"/>
  <c r="H204"/>
  <c r="L204"/>
  <c r="H118"/>
  <c r="H120"/>
  <c r="H122"/>
  <c r="H138"/>
  <c r="H141"/>
  <c r="H143"/>
  <c r="H145"/>
  <c r="H142"/>
  <c r="H144"/>
  <c r="H139"/>
  <c r="H136"/>
  <c r="H85"/>
  <c r="H87"/>
  <c r="H91"/>
  <c r="H94"/>
  <c r="H96"/>
  <c r="H98"/>
  <c r="H86"/>
  <c r="H88"/>
  <c r="H95"/>
  <c r="H97"/>
  <c r="H92"/>
  <c r="H182"/>
  <c r="H148"/>
  <c r="H124"/>
  <c r="H125"/>
  <c r="H116"/>
  <c r="H176"/>
  <c r="H180"/>
  <c r="H177"/>
  <c r="H170"/>
  <c r="H174"/>
  <c r="H194"/>
  <c r="H192"/>
  <c r="H198"/>
  <c r="H195"/>
  <c r="H165"/>
  <c r="H162"/>
  <c r="H159"/>
  <c r="H161"/>
  <c r="H203"/>
  <c r="H202"/>
  <c r="H147"/>
  <c r="H129"/>
  <c r="H127"/>
  <c r="H151"/>
  <c r="H115"/>
  <c r="H106"/>
  <c r="H126"/>
  <c r="H114"/>
  <c r="H81"/>
  <c r="I204"/>
  <c r="H59"/>
  <c r="H103"/>
  <c r="H68"/>
  <c r="H69"/>
  <c r="H60"/>
  <c r="H193"/>
  <c r="H166"/>
  <c r="H219"/>
  <c r="H76"/>
  <c r="H67"/>
  <c r="H158"/>
  <c r="H191"/>
  <c r="H221"/>
  <c r="H218"/>
  <c r="H160"/>
  <c r="H199"/>
  <c r="H216"/>
  <c r="H217"/>
  <c r="H220"/>
  <c r="L211"/>
  <c r="L210"/>
  <c r="K210"/>
  <c r="K211"/>
  <c r="J210"/>
  <c r="J211"/>
  <c r="H213"/>
  <c r="K51"/>
  <c r="J204"/>
  <c r="J209" l="1"/>
  <c r="H52"/>
  <c r="H53"/>
  <c r="H54"/>
  <c r="H57"/>
  <c r="H61"/>
  <c r="H62"/>
  <c r="H64"/>
  <c r="H65"/>
  <c r="H72"/>
  <c r="H78"/>
  <c r="H80"/>
  <c r="H82"/>
  <c r="H84"/>
  <c r="H99"/>
  <c r="H109"/>
  <c r="H150"/>
  <c r="H152"/>
  <c r="H111"/>
  <c r="H113"/>
  <c r="H130"/>
  <c r="H132"/>
  <c r="H133"/>
  <c r="H134"/>
  <c r="H135"/>
  <c r="H146"/>
  <c r="H154"/>
  <c r="H155"/>
  <c r="H163"/>
  <c r="H173"/>
  <c r="H175"/>
  <c r="H181"/>
  <c r="H168"/>
  <c r="H169"/>
  <c r="H178"/>
  <c r="H184"/>
  <c r="H185"/>
  <c r="H187"/>
  <c r="H188"/>
  <c r="H196"/>
  <c r="H201"/>
  <c r="H74"/>
  <c r="H105"/>
  <c r="H56"/>
  <c r="H200"/>
  <c r="H186"/>
  <c r="H183"/>
  <c r="H167"/>
  <c r="H153"/>
  <c r="H110"/>
  <c r="H77"/>
  <c r="H70"/>
  <c r="L209"/>
  <c r="H51"/>
  <c r="L51"/>
  <c r="J214" l="1"/>
  <c r="K214"/>
  <c r="L214"/>
  <c r="C206"/>
  <c r="C212"/>
  <c r="C208" s="1"/>
  <c r="D212" l="1"/>
  <c r="D208" s="1"/>
  <c r="D206"/>
  <c r="E206"/>
  <c r="E208"/>
  <c r="L213" l="1"/>
  <c r="G206" l="1"/>
  <c r="L206" s="1"/>
  <c r="J213" l="1"/>
  <c r="J206"/>
  <c r="H206"/>
  <c r="K206"/>
  <c r="L212" l="1"/>
  <c r="K212"/>
  <c r="J212"/>
  <c r="G208"/>
  <c r="I208" s="1"/>
  <c r="J208" l="1"/>
  <c r="H212"/>
  <c r="K208"/>
  <c r="H208"/>
  <c r="L208"/>
</calcChain>
</file>

<file path=xl/sharedStrings.xml><?xml version="1.0" encoding="utf-8"?>
<sst xmlns="http://schemas.openxmlformats.org/spreadsheetml/2006/main" count="326" uniqueCount="254">
  <si>
    <t>Единый сельскохозяйственный налог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</si>
  <si>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</si>
  <si>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</si>
  <si>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000 1 17 00000 00 0000 000</t>
  </si>
  <si>
    <t xml:space="preserve">БЕЗВОЗМЕЗДНЫЕ ПОСТУПЛЕНИЯ </t>
  </si>
  <si>
    <t>ПРОЧИЕ НЕНАЛОГОВЫЕ ДОХОДЫ</t>
  </si>
  <si>
    <t>ВСЕГО ДОХОДОВ</t>
  </si>
  <si>
    <t>РАСХОДЫ</t>
  </si>
  <si>
    <t xml:space="preserve">ЖИЛИЩНО-КОММУНАЛЬНОЕ ХОЗЯЙСТВО </t>
  </si>
  <si>
    <t>СПРАВОЧНО:</t>
  </si>
  <si>
    <t xml:space="preserve"> </t>
  </si>
  <si>
    <t>Процент исполнения годового плана</t>
  </si>
  <si>
    <t>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</si>
  <si>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</si>
  <si>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</si>
  <si>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</si>
  <si>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Земельный налог</t>
  </si>
  <si>
    <t>НЕНАЛОГОВЫЕ ДОХОДЫ</t>
  </si>
  <si>
    <t>Код</t>
  </si>
  <si>
    <t>Отклонение от годового плана</t>
  </si>
  <si>
    <t>Наименование</t>
  </si>
  <si>
    <t>0100</t>
  </si>
  <si>
    <t>0500</t>
  </si>
  <si>
    <t>Резервные фонды</t>
  </si>
  <si>
    <t>0400</t>
  </si>
  <si>
    <t>ОБЩЕГОСУДАРСТВЕННЫЕ ВОПРОСЫ</t>
  </si>
  <si>
    <t>НАЦИОНАЛЬНАЯ ЭКОНОМИКА</t>
  </si>
  <si>
    <t>в том числе:</t>
  </si>
  <si>
    <t>000 1 00 00000 00 0000 000</t>
  </si>
  <si>
    <t>000 1 01 00000 00 0000 000</t>
  </si>
  <si>
    <t>НАЛОГИ НА ПРИБЫЛЬ, ДОХОДЫ</t>
  </si>
  <si>
    <t>182 1 01 02000 01 0000 110</t>
  </si>
  <si>
    <t>182 1 05 03000 01 0000 110</t>
  </si>
  <si>
    <t>182 1 06 06000 00 0000 110</t>
  </si>
  <si>
    <t>Налог на имущество физических лиц</t>
  </si>
  <si>
    <t>182 1 06 01000 00 0000 110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</si>
  <si>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</si>
  <si>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000 1 14 00000 00 0000 000</t>
  </si>
  <si>
    <t>000 1 11 00000 00 0000 000</t>
  </si>
  <si>
    <t>000 2 00 00000 00 0000 000</t>
  </si>
  <si>
    <t>000 2 02 01000 00 0000 151</t>
  </si>
  <si>
    <t>Доходы,  получаемые  в  виде  арендной  платы  за земельные участки, государственная  собственность на которые не разграничена и которые  расположены в границах поселений, а также средства от продажи права на заключение  договоров  аренды  указанных земельных участков</t>
  </si>
  <si>
    <t>Доходы    от    продажи    земельных    участков, государственная  собственность  на   которые   не разграничена и  которые  расположены  в  границах поселений</t>
  </si>
  <si>
    <t>0503</t>
  </si>
  <si>
    <t>Благоустройство</t>
  </si>
  <si>
    <t>0707</t>
  </si>
  <si>
    <t>0102</t>
  </si>
  <si>
    <t>0103</t>
  </si>
  <si>
    <t>0408</t>
  </si>
  <si>
    <t>Невыясненные поступления, зачисляемые в бюджеты поселений</t>
  </si>
  <si>
    <t>Физическая культура и спорт</t>
  </si>
  <si>
    <t>Увеличение прочих остатков денежных средств бюджета поселения</t>
  </si>
  <si>
    <t>Уменьшение прочих остатков денежных средств бюджета поселения</t>
  </si>
  <si>
    <t>Молодежная политика и оздоровление детей</t>
  </si>
  <si>
    <t>Функционирование высшего должностного лица субъекта Российской Федерации и муниципального образования</t>
  </si>
  <si>
    <t>Всего расходов</t>
  </si>
  <si>
    <t>0106</t>
  </si>
  <si>
    <t>0501</t>
  </si>
  <si>
    <t>0505</t>
  </si>
  <si>
    <t>Другие вопросы в области жилищно-коммунального хозяйства</t>
  </si>
  <si>
    <t>1003</t>
  </si>
  <si>
    <t>Социальное обеспечение населения</t>
  </si>
  <si>
    <t>0800</t>
  </si>
  <si>
    <t>Культура</t>
  </si>
  <si>
    <t>0801</t>
  </si>
  <si>
    <t>1001</t>
  </si>
  <si>
    <t>Пенсионное обеспечение</t>
  </si>
  <si>
    <t xml:space="preserve">Возврат остатков субсидий, субвенций и иных межбюджетных трансфертов, имеющих целевое назначение, прошлых лет, из бюджетов поселений </t>
  </si>
  <si>
    <t>ПРОФИЦИТ БЮДЖЕТА (со знаком плюс)</t>
  </si>
  <si>
    <t>ДЕФИЦИТ БЮДЖЕТА (со знаком минус)</t>
  </si>
  <si>
    <t>ИСТОЧНИКИ ВНУТРЕННЕГО ФИНАНСИРОВАНИЯ ДЕФИЦИТА БЮДЖЕТА</t>
  </si>
  <si>
    <t xml:space="preserve">Первоначальный  годовой план 
</t>
  </si>
  <si>
    <t>2</t>
  </si>
  <si>
    <t>Жилищное хозяйство</t>
  </si>
  <si>
    <t>0111</t>
  </si>
  <si>
    <t xml:space="preserve">- капитальный ремонт жилого фонда за счет средств поступающих за наем муниципальных жилых помещений     </t>
  </si>
  <si>
    <t xml:space="preserve">- увеличение стоимости основных средств </t>
  </si>
  <si>
    <t>1301</t>
  </si>
  <si>
    <t>0113</t>
  </si>
  <si>
    <t>1101</t>
  </si>
  <si>
    <t>182 1 05 03010 01 0000 110</t>
  </si>
  <si>
    <t>Прочие поступления  от  использования  имущества, находящегося  в   собственности  поселений  (за исключением  имущества  муниципальных  бюджетных и автономных учреждений,  а  также   имущества   муниципальных унитарных предприятий, в том числе казенных)</t>
  </si>
  <si>
    <t>01 02 00 00 10 0000 710</t>
  </si>
  <si>
    <t>Получение кредитов от кредитных организаций бюджетом поселения в валюте Российской Федерации</t>
  </si>
  <si>
    <t>01 02 00 00 10 0000 810</t>
  </si>
  <si>
    <t>Погашение бюджетом поселения кредитов от кредитных организаций в валюте Российской Федерации</t>
  </si>
  <si>
    <t>01 02 00 00 00 0000 000</t>
  </si>
  <si>
    <t>Кредиты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</si>
  <si>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</si>
  <si>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бюджета</t>
  </si>
  <si>
    <t xml:space="preserve"> 01 05 02 01 10 0000 510</t>
  </si>
  <si>
    <t xml:space="preserve"> 01 05 02 01 10 0000 610</t>
  </si>
  <si>
    <t>000 1 05 00000 00 0000 000</t>
  </si>
  <si>
    <t>000 1 06 00000 00 0000 000</t>
  </si>
  <si>
    <t>0300</t>
  </si>
  <si>
    <t>НАЦИОНАЛЬНАЯ БЕЗОПАСНОСТЬ И ПРАВООХРАНИТЕЛЬНАЯ ДЕЯТЕЛЬНОСТЬ</t>
  </si>
  <si>
    <t>Транспорт</t>
  </si>
  <si>
    <t>0409</t>
  </si>
  <si>
    <t>Дорожное хозяйство (дорожные фонды)</t>
  </si>
  <si>
    <t>- ремонт автомобильных дорог общего пользования</t>
  </si>
  <si>
    <t>- бюджетные инвестиции в объекты капитального строительства собственности муниципальных образований</t>
  </si>
  <si>
    <t>- уличное освещение</t>
  </si>
  <si>
    <t>- озеленение</t>
  </si>
  <si>
    <t>- организация и содержание мест захоронения</t>
  </si>
  <si>
    <t>- субсидии бюджетным учреждениям на финансовое обеспечение муниципального задания на оказание муниципальных услуг (выполнение работ)</t>
  </si>
  <si>
    <t>- субсидии бюджетным учреждениям на иные цели</t>
  </si>
  <si>
    <t>- заработная плата с начислениями на оплату труда</t>
  </si>
  <si>
    <t>Культура, кинематография</t>
  </si>
  <si>
    <t>- увеличение стоимости основных средств</t>
  </si>
  <si>
    <t xml:space="preserve">- коммунальные услуги </t>
  </si>
  <si>
    <t>1000</t>
  </si>
  <si>
    <t>Социальная политика</t>
  </si>
  <si>
    <t>1100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</si>
  <si>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</si>
  <si>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</si>
  <si>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- реализация долгосрочных целевых программ</t>
  </si>
  <si>
    <t>Защита населения и территории от чрезвычайных ситуаций природного и техногенного характера, гражданская оборона</t>
  </si>
  <si>
    <t>Образование</t>
  </si>
  <si>
    <t>0700</t>
  </si>
  <si>
    <t>- субсидия на возмещение недополученных доходов в связи с применением регулируемых тарифов на пассажирские перевозки, осуществляемые горэлектротранспортом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</si>
  <si>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 также   имущества   муниципальных унитарных предприятий, в том числе казенных), в части реализации основных средств по указанному имуществу</t>
  </si>
  <si>
    <t>000 2 02 02000 00 0000 151</t>
  </si>
  <si>
    <t>Субсидии бюджетам Российской Федерации и муниципальных образований (межбюджетные субсидии)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</si>
  <si>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</si>
  <si>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</si>
  <si>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148 219 05000 10 0000 151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</si>
  <si>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</si>
  <si>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</si>
  <si>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</si>
  <si>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</si>
  <si>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тыс.рублей</t>
  </si>
  <si>
    <t>182 1 01 02010 01 0000 110</t>
  </si>
  <si>
    <t>0107</t>
  </si>
  <si>
    <t>Обеспечение проведения выборов и референдумов</t>
  </si>
  <si>
    <t>- 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областного дорожного фонда</t>
  </si>
  <si>
    <t>- субсидия на капитальный ремонт и ремонт автомобильных дорог общего пользования населенных пунктов за счет средств областного дорожного фонда</t>
  </si>
  <si>
    <t>Субсидия бюджетам поселений области на капитальный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областного дорожного фонда</t>
  </si>
  <si>
    <t>Субсидия бюджетам поселений области на капитальный ремонт и ремонт автомобильных дорог общего пользования населенных пунктов за счет средств областного дорожного фонда</t>
  </si>
  <si>
    <t>148 2 02 02999 10 0037 151</t>
  </si>
  <si>
    <t>148 2 02 02999 10 0038 151</t>
  </si>
  <si>
    <t>Из них по разделу 0100</t>
  </si>
  <si>
    <t>Из них по разделу 0300</t>
  </si>
  <si>
    <t>Из них по разделу 0400</t>
  </si>
  <si>
    <t>Из них по разделу 0500</t>
  </si>
  <si>
    <t>- органов местного самоуправления</t>
  </si>
  <si>
    <t>- заработная плата с начислениями на оплату труда, из них: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</si>
  <si>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поселениями</t>
  </si>
  <si>
    <t>Другие вопросы в области национальной экономики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</si>
  <si>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9.9"/>
        <color indexed="8"/>
        <rFont val="Arial Narrow"/>
        <family val="2"/>
        <charset val="204"/>
      </rPr>
      <t>1</t>
    </r>
    <r>
      <rPr>
        <sz val="9"/>
        <color indexed="8"/>
        <rFont val="Arial Narrow"/>
        <family val="2"/>
        <charset val="204"/>
      </rPr>
      <t xml:space="preserve"> и 228 Налогового кодекса Российской Федерации</t>
    </r>
  </si>
  <si>
    <t>000 1 16 00000 00 0000 000</t>
  </si>
  <si>
    <t>ШТРАФЫ, САНКЦИИ, ВОЗМЕЩЕНИЕ УЩЕРБА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</si>
  <si>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</si>
  <si>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- межбюджетные трансферты на осуществление переданных полномочий по решению вопросов местного значения поселений в части исполнения бюджета МО г.Энгельс</t>
  </si>
  <si>
    <t>- межбюджетные трансферты ЭМР</t>
  </si>
  <si>
    <t>Доходы от сдачи в аренду имущества, составляющего казну поселений (за исключением земельных участков)</t>
  </si>
  <si>
    <t>000 2 02 04000 00 0000 151</t>
  </si>
  <si>
    <t>0104</t>
  </si>
  <si>
    <t xml:space="preserve">- межбюджетные трансферты на осуществление переданных полномочий по решению вопросов местного значения поселений </t>
  </si>
  <si>
    <t>0309</t>
  </si>
  <si>
    <t>в т.ч.:</t>
  </si>
  <si>
    <t xml:space="preserve">- межбюджетные трансферты на обеспечение деятельности аварийно-спасательного формирования - муниципального учреждения "Энгельс-Спас" </t>
  </si>
  <si>
    <t>0412</t>
  </si>
  <si>
    <t>- межбюджетные трансферты на осуществление переданных полномочий по решению вопросов местного значения поселений по архитектуре и градостроительству</t>
  </si>
  <si>
    <t xml:space="preserve">- межбюджетные трансферты на осуществление переданных полномочий по решению вопросов местного значения поселений по земельному контролю </t>
  </si>
  <si>
    <t>- реализация программ</t>
  </si>
  <si>
    <t>- ремонт дворовых территорий многоквартирных домов   (в рамках ВЦП)</t>
  </si>
  <si>
    <t>0502</t>
  </si>
  <si>
    <t>Коммунальное хозяйство</t>
  </si>
  <si>
    <t>1403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</si>
  <si>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</si>
  <si>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</si>
  <si>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000 1 03 00000 00 0000 000</t>
  </si>
  <si>
    <t>119 1 16 51040 02 0000 140</t>
  </si>
  <si>
    <t>Денежные взыскания (штрафы) установленные законами субъектов Российской Федерации за несоблюдение муниципальных правовых актов, зачисляемых в бюджеты поселений</t>
  </si>
  <si>
    <t>119 1 17 01050 10 0000 180</t>
  </si>
  <si>
    <t>НАЛОГОВЫЕ И НЕНАЛОГОВЫЕ ДОХОДЫ</t>
  </si>
  <si>
    <t>- работников муниципальных учреждений соц.сферы</t>
  </si>
  <si>
    <t>Налоги на товары (работы, услуги), реализуемые на территории Российской Федерации</t>
  </si>
  <si>
    <t>Акцизы по подакцизным товарам  (продукции), производимым на территории Российской Федерации</t>
  </si>
  <si>
    <t>134 1 17 05050 13 0000 180</t>
  </si>
  <si>
    <t>134 1 11 05075 13 0000 120</t>
  </si>
  <si>
    <t>119 1 11 07015 13 0000 120</t>
  </si>
  <si>
    <t>134 1 11 05013 13 0000 120</t>
  </si>
  <si>
    <t>134 1 14 02053 13 0000 410</t>
  </si>
  <si>
    <t>прочие неналоговые доходы бюджетов городских поселений (соц.найм МБУ)</t>
  </si>
  <si>
    <t>104 1 14 06025 13 0000 430</t>
  </si>
  <si>
    <t>134 1 14 06013 13 0000 430</t>
  </si>
  <si>
    <t>- оплата налога на имущество и транспортного налога</t>
  </si>
  <si>
    <t xml:space="preserve">- прочие расходы </t>
  </si>
  <si>
    <t xml:space="preserve"> - оплата услуг связи</t>
  </si>
  <si>
    <t>- Муниципальная программа "Молодежь муниципального образования город Энгельс Энгельсского муниципального района Саратовской области" на 2013- 2015 годы</t>
  </si>
  <si>
    <t>- оплата услуг связи</t>
  </si>
  <si>
    <t xml:space="preserve">- прочие расходы  </t>
  </si>
  <si>
    <t>- Ведомственная целевая программа "Развитие культуры на территории муниципального образования город Энгельс Энгельсского муниципального района Саратовской области" на 2014-2016 годы</t>
  </si>
  <si>
    <t>Ведомственная целевая программа "Развитие физической культуры и спорта на территории муниципального образования город Энгельс Энгельсского муниципального района Саратовской области" на 2014-2016 годы</t>
  </si>
  <si>
    <t>3701020</t>
  </si>
  <si>
    <t>- проведение мероприятий в области молодежной политики и обеспечение деятельности учреждений</t>
  </si>
  <si>
    <t>- проведение мероприятий в области культуры учреждениями соц. Сферы и обеспечение деятельности учреждений</t>
  </si>
  <si>
    <t>3601070</t>
  </si>
  <si>
    <t>612, 244
3501030</t>
  </si>
  <si>
    <t>- ежемесячные взносы на кап.ремонт жил.фонда</t>
  </si>
  <si>
    <t>- проведение аварийно-восстановительных работ по ликвидации ЧС</t>
  </si>
  <si>
    <t>в т.ч. МБТ на организацию похоронного дела</t>
  </si>
  <si>
    <t>- содержание автомобильных дорог общего пользования (в т.ч. приобр.ОС для содержания дорог)</t>
  </si>
  <si>
    <t>0804</t>
  </si>
  <si>
    <t>Другие вопросы в области культуры, кинематографии</t>
  </si>
  <si>
    <t>Содержание МБУ</t>
  </si>
  <si>
    <t>Уд. вес
в 2016 г.</t>
  </si>
  <si>
    <t>Земельный налог с организаций</t>
  </si>
  <si>
    <t>Земельный налог с физических лиц</t>
  </si>
  <si>
    <t>100 1 03 02000 01 0000 110</t>
  </si>
  <si>
    <t>182 1 06 01030 13 0000 110</t>
  </si>
  <si>
    <t>182 1 06 06033 13 0000 110</t>
  </si>
  <si>
    <t>182 1 06 06043 13 0000 110</t>
  </si>
  <si>
    <t>125 1 16 51040 02 0000 140</t>
  </si>
  <si>
    <t>Дотации бюджетам бюджетной системы Российской Федерации</t>
  </si>
  <si>
    <t xml:space="preserve">Дотации бюджетам городских поселений на выравнивание бюджетной обеспеченности </t>
  </si>
  <si>
    <t>119 2 02 01001 13 0000 151</t>
  </si>
  <si>
    <t>2610001400, 3900004300, 3900004400, 3900011700, 3900012400</t>
  </si>
  <si>
    <t>В том числе:</t>
  </si>
  <si>
    <t>4200014400</t>
  </si>
  <si>
    <t>- замена и модернизация лифтового оборудования  (в рамках МП)</t>
  </si>
  <si>
    <t>5900012000</t>
  </si>
  <si>
    <t>- предотвращения рисков возникновения ЧС  (в рамках ВЦП)</t>
  </si>
  <si>
    <t>611</t>
  </si>
  <si>
    <t>- содержание жил.помещений</t>
  </si>
  <si>
    <t>2310007700</t>
  </si>
  <si>
    <t>- прочие мероприятия по благоустройству</t>
  </si>
  <si>
    <t>Погашение кредиторской задолженности за 2014 год (ВЦП "Дорожная деятельность...")</t>
  </si>
  <si>
    <t>- ВЦП "Содержание жилых помещений… в 2014-2015 годах"</t>
  </si>
  <si>
    <t>Муниципальное задание по организации содержания и ремонта муниципального жилищного фонда, субсидии на иные цели (МБУ "Городское хозяйство"):</t>
  </si>
  <si>
    <t>Муниципальное задание по организации благоустройства и озеленения, субсидии на иные цели (МБУ "Городское хозяйство"):</t>
  </si>
  <si>
    <t>Муниципальное задание по организации капитального ремонта, ремонта и содержания закрепленных автомобильных дорог общего пользования и искусственных дорожных сооружений в их составе, субсидии на иные цели (МБУ "Городское хозяйство"):</t>
  </si>
  <si>
    <t>Уточненный годовой план 
на 01.07.2016 г.</t>
  </si>
  <si>
    <t>Фактическое
исполнение
на 01.07.2015 г.</t>
  </si>
  <si>
    <t>Фактическое
исполнение
на 01.07.2016 г.</t>
  </si>
  <si>
    <t>Процент 
исполнения плана 
1 полугодия</t>
  </si>
  <si>
    <t>План  1 полугодия
на 01.07.2016 г.</t>
  </si>
  <si>
    <t>000 1 11 09045 13 0000 120</t>
  </si>
  <si>
    <t xml:space="preserve">119 2 02 04095 13 0000 151 </t>
  </si>
  <si>
    <t>Межбюджетные трансферты бюджетам городских поселений на реализацию региональных программ</t>
  </si>
  <si>
    <t>Межбюджетные трансферты</t>
  </si>
  <si>
    <t>в том числе по МБУ "Городское хозяйство":</t>
  </si>
  <si>
    <t>Иные межбюджетные трансферты бюджетам поселений области на достижение целевых показателей, предусматривающих мероприятия по решению неотложных задач по приведению в нормативное состояние автомобильных дорог местного значения за счет средств областного дорожного фонда</t>
  </si>
  <si>
    <t>39 0 01 54200</t>
  </si>
  <si>
    <t>39 0 02 54200</t>
  </si>
  <si>
    <t>мероприятия по землеустройству и землепользованию</t>
  </si>
  <si>
    <t>-субсидии бюджетным учреждениям на иные цели</t>
  </si>
  <si>
    <t>Физическая культура</t>
  </si>
  <si>
    <t>- Ремонтно-восстановительные работы: с. Квасниковка, ул. Дружбы, д.15</t>
  </si>
  <si>
    <t>в том числе по МБУ:</t>
  </si>
  <si>
    <t>Анализ исполнения  бюджета муниципального образования город Энгельс за 1 полугодие 2016 года</t>
  </si>
  <si>
    <t>Сравнение исполнения на 01.07.2015 и 2016 гг.      (гр.7-гр.6)</t>
  </si>
  <si>
    <t>Иные межбюджетные трансферты бюджетам поселений области на достижение целевых показателей, предусматривающих приведение в нормативное состояние, а также развитие и увеличение пропускной способности сети автомобильных дорог общего пользования местного значения за счет средств областного дорожного фонда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</si>
</sst>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.0"/>
    <numFmt numFmtId="165" formatCode="0.0%"/>
    <numFmt numFmtId="166" formatCode="_-* #,##0.0_р_._-;\-* #,##0.0_р_._-;_-* &quot;-&quot;??_р_._-;_-@_-"/>
    <numFmt numFmtId="167" formatCode="#,##0.0"/>
    <numFmt numFmtId="168" formatCode="\+#,##0.0;\-#,##0.0"/>
    <numFmt numFmtId="169" formatCode="#,##0.00;[Red]\-#,##0.00;0.00"/>
  </numFmts>
  <fonts count="25">
    <font>
      <sz val="10"/>
      <name val="Arial Cyr"/>
      <charset val="204"/>
    </font>
    <font>
      <sz val="10"/>
      <name val="Arial Cyr"/>
      <charset val="204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i/>
      <sz val="9"/>
      <name val="Arial Narrow"/>
      <family val="2"/>
    </font>
    <font>
      <b/>
      <sz val="11"/>
      <name val="Arial Narrow"/>
      <family val="2"/>
    </font>
    <font>
      <b/>
      <u/>
      <sz val="9"/>
      <name val="Arial Narrow"/>
      <family val="2"/>
    </font>
    <font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8"/>
      <name val="Arial Narrow"/>
      <family val="2"/>
      <charset val="204"/>
    </font>
    <font>
      <b/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10"/>
      <name val="Arial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  <charset val="204"/>
    </font>
    <font>
      <sz val="7"/>
      <name val="Arial Narrow"/>
      <family val="2"/>
      <charset val="204"/>
    </font>
    <font>
      <b/>
      <sz val="7"/>
      <name val="Arial Narrow"/>
      <family val="2"/>
      <charset val="204"/>
    </font>
    <font>
      <b/>
      <sz val="11"/>
      <name val="Arial Narrow"/>
      <family val="2"/>
      <charset val="204"/>
    </font>
    <font>
      <vertAlign val="superscript"/>
      <sz val="9.9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sz val="9"/>
      <name val="Arial Narrow"/>
      <family val="2"/>
      <charset val="204"/>
    </font>
    <font>
      <b/>
      <sz val="9"/>
      <color indexed="8"/>
      <name val="Arial Narrow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B7F9C2"/>
        <bgColor indexed="64"/>
      </patternFill>
    </fill>
    <fill>
      <patternFill patternType="solid">
        <fgColor rgb="FFB7FFC2"/>
        <bgColor indexed="64"/>
      </patternFill>
    </fill>
    <fill>
      <patternFill patternType="solid">
        <fgColor rgb="FFB7F8C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justify" vertical="center"/>
    </xf>
    <xf numFmtId="167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justify" vertical="center" wrapText="1"/>
    </xf>
    <xf numFmtId="167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justify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left" vertical="justify" wrapText="1"/>
    </xf>
    <xf numFmtId="164" fontId="3" fillId="0" borderId="1" xfId="3" applyNumberFormat="1" applyFont="1" applyFill="1" applyBorder="1" applyAlignment="1">
      <alignment horizontal="right" vertical="center"/>
    </xf>
    <xf numFmtId="167" fontId="8" fillId="0" borderId="1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left" vertical="justify" wrapText="1"/>
    </xf>
    <xf numFmtId="168" fontId="14" fillId="0" borderId="0" xfId="0" applyNumberFormat="1" applyFont="1" applyFill="1" applyBorder="1" applyAlignment="1">
      <alignment horizontal="left" vertical="justify" wrapText="1"/>
    </xf>
    <xf numFmtId="168" fontId="10" fillId="0" borderId="0" xfId="0" applyNumberFormat="1" applyFont="1" applyFill="1" applyBorder="1" applyAlignment="1">
      <alignment horizontal="left" vertical="justify" wrapText="1"/>
    </xf>
    <xf numFmtId="0" fontId="10" fillId="0" borderId="0" xfId="0" applyFont="1" applyFill="1" applyBorder="1" applyAlignment="1">
      <alignment horizontal="left" vertical="justify" wrapText="1"/>
    </xf>
    <xf numFmtId="0" fontId="9" fillId="0" borderId="0" xfId="0" applyFont="1" applyFill="1" applyBorder="1" applyAlignment="1">
      <alignment vertical="center"/>
    </xf>
    <xf numFmtId="167" fontId="12" fillId="0" borderId="1" xfId="0" applyNumberFormat="1" applyFont="1" applyFill="1" applyBorder="1" applyAlignment="1" applyProtection="1">
      <alignment horizontal="right" vertical="center"/>
      <protection locked="0"/>
    </xf>
    <xf numFmtId="167" fontId="2" fillId="0" borderId="1" xfId="0" applyNumberFormat="1" applyFont="1" applyFill="1" applyBorder="1" applyAlignment="1">
      <alignment horizontal="justify" vertical="center"/>
    </xf>
    <xf numFmtId="167" fontId="3" fillId="0" borderId="1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justify" vertical="center" wrapText="1"/>
    </xf>
    <xf numFmtId="167" fontId="3" fillId="0" borderId="0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165" fontId="3" fillId="0" borderId="0" xfId="3" applyNumberFormat="1" applyFont="1" applyFill="1" applyBorder="1" applyAlignment="1">
      <alignment horizontal="right" vertical="center"/>
    </xf>
    <xf numFmtId="168" fontId="3" fillId="0" borderId="0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justify" vertical="center"/>
    </xf>
    <xf numFmtId="49" fontId="8" fillId="0" borderId="1" xfId="0" applyNumberFormat="1" applyFont="1" applyFill="1" applyBorder="1" applyAlignment="1">
      <alignment horizontal="justify" vertical="center"/>
    </xf>
    <xf numFmtId="167" fontId="8" fillId="0" borderId="1" xfId="0" applyNumberFormat="1" applyFont="1" applyFill="1" applyBorder="1" applyAlignment="1">
      <alignment horizontal="right" vertical="center"/>
    </xf>
    <xf numFmtId="167" fontId="9" fillId="0" borderId="1" xfId="0" applyNumberFormat="1" applyFont="1" applyFill="1" applyBorder="1" applyAlignment="1">
      <alignment horizontal="right" vertical="center"/>
    </xf>
    <xf numFmtId="167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3" fillId="0" borderId="1" xfId="4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3" fontId="1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left" vertical="top" wrapText="1"/>
      <protection locked="0"/>
    </xf>
    <xf numFmtId="49" fontId="9" fillId="0" borderId="1" xfId="0" applyNumberFormat="1" applyFont="1" applyFill="1" applyBorder="1" applyAlignment="1" applyProtection="1">
      <alignment horizontal="left" vertical="top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16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top" wrapText="1"/>
      <protection locked="0"/>
    </xf>
    <xf numFmtId="16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3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 applyProtection="1">
      <alignment horizontal="right" vertical="center"/>
    </xf>
    <xf numFmtId="167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0" xfId="0" applyNumberFormat="1" applyFont="1" applyFill="1" applyBorder="1" applyAlignment="1">
      <alignment horizontal="justify" vertical="center"/>
    </xf>
    <xf numFmtId="167" fontId="3" fillId="0" borderId="0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justify" vertical="center"/>
    </xf>
    <xf numFmtId="167" fontId="5" fillId="0" borderId="0" xfId="0" applyNumberFormat="1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" xfId="0" applyNumberFormat="1" applyFont="1" applyFill="1" applyBorder="1" applyAlignment="1">
      <alignment horizontal="right" vertical="center"/>
    </xf>
    <xf numFmtId="168" fontId="3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justify" vertical="center"/>
    </xf>
    <xf numFmtId="0" fontId="9" fillId="0" borderId="1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justify" vertical="center"/>
    </xf>
    <xf numFmtId="167" fontId="15" fillId="0" borderId="0" xfId="0" applyNumberFormat="1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center" vertical="center"/>
    </xf>
    <xf numFmtId="167" fontId="2" fillId="0" borderId="2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justify" vertical="center" wrapText="1"/>
    </xf>
    <xf numFmtId="167" fontId="9" fillId="2" borderId="1" xfId="0" applyNumberFormat="1" applyFont="1" applyFill="1" applyBorder="1" applyAlignment="1">
      <alignment horizontal="right" vertical="center" wrapText="1"/>
    </xf>
    <xf numFmtId="165" fontId="9" fillId="2" borderId="1" xfId="3" applyNumberFormat="1" applyFont="1" applyFill="1" applyBorder="1" applyAlignment="1">
      <alignment horizontal="right" vertical="center"/>
    </xf>
    <xf numFmtId="168" fontId="9" fillId="2" borderId="1" xfId="0" applyNumberFormat="1" applyFont="1" applyFill="1" applyBorder="1" applyAlignment="1">
      <alignment horizontal="right" vertical="center"/>
    </xf>
    <xf numFmtId="167" fontId="9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justify" vertical="center" wrapText="1"/>
    </xf>
    <xf numFmtId="0" fontId="9" fillId="2" borderId="1" xfId="0" applyNumberFormat="1" applyFont="1" applyFill="1" applyBorder="1" applyAlignment="1">
      <alignment horizontal="justify" vertical="center"/>
    </xf>
    <xf numFmtId="49" fontId="9" fillId="2" borderId="1" xfId="0" applyNumberFormat="1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justify" vertical="center"/>
    </xf>
    <xf numFmtId="167" fontId="3" fillId="2" borderId="1" xfId="0" applyNumberFormat="1" applyFont="1" applyFill="1" applyBorder="1" applyAlignment="1">
      <alignment horizontal="right" vertical="center"/>
    </xf>
    <xf numFmtId="165" fontId="3" fillId="2" borderId="1" xfId="3" applyNumberFormat="1" applyFont="1" applyFill="1" applyBorder="1" applyAlignment="1">
      <alignment horizontal="right" vertical="center"/>
    </xf>
    <xf numFmtId="168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Continuous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5" fontId="8" fillId="2" borderId="1" xfId="3" applyNumberFormat="1" applyFont="1" applyFill="1" applyBorder="1" applyAlignment="1">
      <alignment horizontal="right" vertical="center"/>
    </xf>
    <xf numFmtId="168" fontId="8" fillId="2" borderId="1" xfId="0" applyNumberFormat="1" applyFont="1" applyFill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5" fontId="2" fillId="2" borderId="2" xfId="3" applyNumberFormat="1" applyFont="1" applyFill="1" applyBorder="1" applyAlignment="1">
      <alignment horizontal="right" vertical="center"/>
    </xf>
    <xf numFmtId="168" fontId="2" fillId="2" borderId="2" xfId="0" applyNumberFormat="1" applyFont="1" applyFill="1" applyBorder="1" applyAlignment="1">
      <alignment horizontal="right" vertical="center"/>
    </xf>
    <xf numFmtId="167" fontId="2" fillId="2" borderId="2" xfId="0" applyNumberFormat="1" applyFont="1" applyFill="1" applyBorder="1" applyAlignment="1">
      <alignment horizontal="right" vertical="center"/>
    </xf>
    <xf numFmtId="167" fontId="8" fillId="2" borderId="1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167" fontId="11" fillId="4" borderId="1" xfId="0" applyNumberFormat="1" applyFont="1" applyFill="1" applyBorder="1" applyAlignment="1" applyProtection="1">
      <alignment horizontal="right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justify" vertical="center"/>
    </xf>
    <xf numFmtId="167" fontId="3" fillId="5" borderId="1" xfId="0" applyNumberFormat="1" applyFont="1" applyFill="1" applyBorder="1" applyAlignment="1">
      <alignment horizontal="right" vertical="center"/>
    </xf>
    <xf numFmtId="167" fontId="3" fillId="5" borderId="1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justify" vertical="center" wrapText="1"/>
    </xf>
    <xf numFmtId="167" fontId="8" fillId="2" borderId="1" xfId="0" applyNumberFormat="1" applyFont="1" applyFill="1" applyBorder="1" applyAlignment="1">
      <alignment horizontal="right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justify" vertical="center"/>
    </xf>
    <xf numFmtId="167" fontId="3" fillId="6" borderId="1" xfId="0" applyNumberFormat="1" applyFont="1" applyFill="1" applyBorder="1" applyAlignment="1">
      <alignment horizontal="right" vertical="center"/>
    </xf>
    <xf numFmtId="167" fontId="12" fillId="0" borderId="1" xfId="0" applyNumberFormat="1" applyFont="1" applyFill="1" applyBorder="1" applyAlignment="1" applyProtection="1">
      <alignment horizontal="right" vertical="center"/>
    </xf>
    <xf numFmtId="167" fontId="12" fillId="4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center" vertical="center"/>
    </xf>
    <xf numFmtId="167" fontId="3" fillId="6" borderId="1" xfId="0" applyNumberFormat="1" applyFont="1" applyFill="1" applyBorder="1" applyAlignment="1">
      <alignment horizontal="right" vertical="center" wrapText="1"/>
    </xf>
    <xf numFmtId="167" fontId="8" fillId="6" borderId="1" xfId="0" applyNumberFormat="1" applyFont="1" applyFill="1" applyBorder="1" applyAlignment="1">
      <alignment horizontal="right" vertical="center" wrapText="1"/>
    </xf>
    <xf numFmtId="167" fontId="8" fillId="6" borderId="1" xfId="0" applyNumberFormat="1" applyFont="1" applyFill="1" applyBorder="1" applyAlignment="1">
      <alignment horizontal="right" vertical="center"/>
    </xf>
    <xf numFmtId="49" fontId="8" fillId="6" borderId="1" xfId="0" applyNumberFormat="1" applyFont="1" applyFill="1" applyBorder="1" applyAlignment="1">
      <alignment horizontal="justify" vertical="center" wrapText="1"/>
    </xf>
    <xf numFmtId="49" fontId="3" fillId="6" borderId="1" xfId="0" applyNumberFormat="1" applyFont="1" applyFill="1" applyBorder="1" applyAlignment="1">
      <alignment horizontal="center" vertical="center"/>
    </xf>
    <xf numFmtId="165" fontId="8" fillId="3" borderId="1" xfId="3" applyNumberFormat="1" applyFont="1" applyFill="1" applyBorder="1" applyAlignment="1">
      <alignment horizontal="right" vertical="center"/>
    </xf>
    <xf numFmtId="169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left" vertical="top"/>
      <protection locked="0"/>
    </xf>
    <xf numFmtId="167" fontId="9" fillId="2" borderId="1" xfId="0" applyNumberFormat="1" applyFont="1" applyFill="1" applyBorder="1" applyAlignment="1" applyProtection="1">
      <alignment horizontal="right" vertical="center"/>
    </xf>
    <xf numFmtId="167" fontId="3" fillId="7" borderId="1" xfId="0" applyNumberFormat="1" applyFont="1" applyFill="1" applyBorder="1" applyAlignment="1">
      <alignment horizontal="right" vertical="center"/>
    </xf>
    <xf numFmtId="165" fontId="9" fillId="3" borderId="1" xfId="3" applyNumberFormat="1" applyFont="1" applyFill="1" applyBorder="1" applyAlignment="1">
      <alignment horizontal="right" vertical="center"/>
    </xf>
    <xf numFmtId="165" fontId="2" fillId="2" borderId="2" xfId="3" applyNumberFormat="1" applyFont="1" applyFill="1" applyBorder="1" applyAlignment="1">
      <alignment horizontal="right" vertical="center"/>
    </xf>
    <xf numFmtId="165" fontId="11" fillId="2" borderId="1" xfId="0" applyNumberFormat="1" applyFont="1" applyFill="1" applyBorder="1" applyAlignment="1">
      <alignment horizontal="right" vertical="center"/>
    </xf>
    <xf numFmtId="168" fontId="12" fillId="2" borderId="1" xfId="0" applyNumberFormat="1" applyFont="1" applyFill="1" applyBorder="1" applyAlignment="1" applyProtection="1">
      <alignment horizontal="right" vertical="center"/>
    </xf>
    <xf numFmtId="168" fontId="11" fillId="2" borderId="1" xfId="0" applyNumberFormat="1" applyFont="1" applyFill="1" applyBorder="1" applyAlignment="1" applyProtection="1">
      <alignment horizontal="right" vertical="center"/>
    </xf>
    <xf numFmtId="167" fontId="9" fillId="7" borderId="1" xfId="0" applyNumberFormat="1" applyFont="1" applyFill="1" applyBorder="1" applyAlignment="1">
      <alignment horizontal="right" vertical="center"/>
    </xf>
    <xf numFmtId="167" fontId="8" fillId="7" borderId="1" xfId="0" applyNumberFormat="1" applyFont="1" applyFill="1" applyBorder="1" applyAlignment="1">
      <alignment horizontal="right" vertical="center"/>
    </xf>
    <xf numFmtId="3" fontId="18" fillId="5" borderId="1" xfId="0" applyNumberFormat="1" applyFont="1" applyFill="1" applyBorder="1" applyAlignment="1">
      <alignment horizontal="center" vertical="center" wrapText="1"/>
    </xf>
    <xf numFmtId="167" fontId="11" fillId="5" borderId="1" xfId="0" applyNumberFormat="1" applyFont="1" applyFill="1" applyBorder="1" applyAlignment="1" applyProtection="1">
      <alignment horizontal="right" vertical="center"/>
    </xf>
    <xf numFmtId="167" fontId="12" fillId="5" borderId="1" xfId="0" applyNumberFormat="1" applyFont="1" applyFill="1" applyBorder="1" applyAlignment="1" applyProtection="1">
      <alignment horizontal="right" vertical="center"/>
    </xf>
    <xf numFmtId="167" fontId="12" fillId="5" borderId="1" xfId="0" applyNumberFormat="1" applyFont="1" applyFill="1" applyBorder="1" applyAlignment="1" applyProtection="1">
      <alignment horizontal="right" vertical="center"/>
      <protection locked="0"/>
    </xf>
    <xf numFmtId="167" fontId="12" fillId="5" borderId="1" xfId="0" applyNumberFormat="1" applyFont="1" applyFill="1" applyBorder="1" applyAlignment="1" applyProtection="1">
      <alignment horizontal="right" vertical="center" wrapText="1"/>
      <protection locked="0"/>
    </xf>
    <xf numFmtId="167" fontId="8" fillId="5" borderId="1" xfId="0" applyNumberFormat="1" applyFont="1" applyFill="1" applyBorder="1" applyAlignment="1" applyProtection="1">
      <alignment horizontal="right" vertical="center" wrapText="1"/>
      <protection locked="0"/>
    </xf>
    <xf numFmtId="167" fontId="9" fillId="5" borderId="2" xfId="0" applyNumberFormat="1" applyFont="1" applyFill="1" applyBorder="1" applyAlignment="1" applyProtection="1">
      <alignment horizontal="right" vertical="center"/>
    </xf>
    <xf numFmtId="167" fontId="9" fillId="5" borderId="1" xfId="0" applyNumberFormat="1" applyFont="1" applyFill="1" applyBorder="1" applyAlignment="1" applyProtection="1">
      <alignment horizontal="right" vertical="center"/>
    </xf>
    <xf numFmtId="167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 applyProtection="1">
      <alignment horizontal="left" vertical="top" wrapText="1"/>
      <protection locked="0"/>
    </xf>
    <xf numFmtId="167" fontId="8" fillId="5" borderId="1" xfId="0" applyNumberFormat="1" applyFont="1" applyFill="1" applyBorder="1" applyAlignment="1">
      <alignment horizontal="right" vertical="center"/>
    </xf>
    <xf numFmtId="167" fontId="8" fillId="5" borderId="1" xfId="0" applyNumberFormat="1" applyFont="1" applyFill="1" applyBorder="1" applyAlignment="1">
      <alignment horizontal="right" vertical="center" wrapText="1"/>
    </xf>
    <xf numFmtId="167" fontId="2" fillId="5" borderId="1" xfId="0" applyNumberFormat="1" applyFont="1" applyFill="1" applyBorder="1" applyAlignment="1">
      <alignment horizontal="right" vertical="center"/>
    </xf>
    <xf numFmtId="49" fontId="3" fillId="5" borderId="1" xfId="0" applyNumberFormat="1" applyFont="1" applyFill="1" applyBorder="1" applyAlignment="1">
      <alignment horizontal="justify" vertical="center" wrapText="1"/>
    </xf>
    <xf numFmtId="167" fontId="2" fillId="5" borderId="2" xfId="0" applyNumberFormat="1" applyFont="1" applyFill="1" applyBorder="1" applyAlignment="1">
      <alignment horizontal="right" vertical="center"/>
    </xf>
    <xf numFmtId="167" fontId="9" fillId="5" borderId="1" xfId="0" applyNumberFormat="1" applyFont="1" applyFill="1" applyBorder="1" applyAlignment="1">
      <alignment horizontal="right" vertical="center"/>
    </xf>
    <xf numFmtId="0" fontId="7" fillId="5" borderId="1" xfId="0" applyNumberFormat="1" applyFont="1" applyFill="1" applyBorder="1" applyAlignment="1">
      <alignment horizontal="justify" vertical="center"/>
    </xf>
    <xf numFmtId="0" fontId="9" fillId="6" borderId="1" xfId="0" applyNumberFormat="1" applyFont="1" applyFill="1" applyBorder="1" applyAlignment="1">
      <alignment horizontal="justify" vertical="center"/>
    </xf>
    <xf numFmtId="165" fontId="23" fillId="2" borderId="1" xfId="3" applyNumberFormat="1" applyFont="1" applyFill="1" applyBorder="1" applyAlignment="1">
      <alignment horizontal="right" vertical="center"/>
    </xf>
    <xf numFmtId="168" fontId="23" fillId="2" borderId="1" xfId="0" applyNumberFormat="1" applyFont="1" applyFill="1" applyBorder="1" applyAlignment="1">
      <alignment horizontal="right" vertical="center"/>
    </xf>
    <xf numFmtId="167" fontId="23" fillId="2" borderId="1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center"/>
    </xf>
    <xf numFmtId="165" fontId="24" fillId="2" borderId="1" xfId="0" applyNumberFormat="1" applyFont="1" applyFill="1" applyBorder="1" applyAlignment="1">
      <alignment horizontal="right" vertical="center"/>
    </xf>
    <xf numFmtId="49" fontId="23" fillId="6" borderId="1" xfId="0" applyNumberFormat="1" applyFont="1" applyFill="1" applyBorder="1" applyAlignment="1">
      <alignment horizontal="center" vertical="center"/>
    </xf>
    <xf numFmtId="49" fontId="23" fillId="6" borderId="1" xfId="0" applyNumberFormat="1" applyFont="1" applyFill="1" applyBorder="1" applyAlignment="1">
      <alignment horizontal="justify" vertical="center"/>
    </xf>
    <xf numFmtId="167" fontId="23" fillId="6" borderId="1" xfId="0" applyNumberFormat="1" applyFont="1" applyFill="1" applyBorder="1" applyAlignment="1">
      <alignment horizontal="right" vertical="center"/>
    </xf>
    <xf numFmtId="167" fontId="11" fillId="6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49" fontId="9" fillId="0" borderId="1" xfId="0" applyNumberFormat="1" applyFont="1" applyFill="1" applyBorder="1" applyAlignment="1">
      <alignment horizontal="justify" vertical="center" wrapText="1"/>
    </xf>
    <xf numFmtId="167" fontId="9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167" fontId="12" fillId="7" borderId="1" xfId="0" applyNumberFormat="1" applyFont="1" applyFill="1" applyBorder="1" applyAlignment="1" applyProtection="1">
      <alignment horizontal="right" vertical="center"/>
    </xf>
    <xf numFmtId="167" fontId="12" fillId="7" borderId="1" xfId="0" applyNumberFormat="1" applyFont="1" applyFill="1" applyBorder="1" applyAlignment="1" applyProtection="1">
      <alignment horizontal="right" vertical="center"/>
      <protection locked="0"/>
    </xf>
    <xf numFmtId="167" fontId="12" fillId="7" borderId="1" xfId="0" applyNumberFormat="1" applyFont="1" applyFill="1" applyBorder="1" applyAlignment="1" applyProtection="1">
      <alignment horizontal="right" vertical="center" wrapText="1"/>
      <protection locked="0"/>
    </xf>
    <xf numFmtId="167" fontId="8" fillId="7" borderId="1" xfId="0" applyNumberFormat="1" applyFont="1" applyFill="1" applyBorder="1" applyAlignment="1" applyProtection="1">
      <alignment horizontal="right" vertical="center" wrapText="1"/>
      <protection locked="0"/>
    </xf>
    <xf numFmtId="167" fontId="9" fillId="7" borderId="1" xfId="0" applyNumberFormat="1" applyFont="1" applyFill="1" applyBorder="1" applyAlignment="1" applyProtection="1">
      <alignment horizontal="right" vertical="center"/>
    </xf>
    <xf numFmtId="167" fontId="9" fillId="7" borderId="1" xfId="0" applyNumberFormat="1" applyFont="1" applyFill="1" applyBorder="1" applyAlignment="1" applyProtection="1">
      <alignment horizontal="right" vertical="center" wrapText="1"/>
      <protection locked="0"/>
    </xf>
    <xf numFmtId="167" fontId="9" fillId="3" borderId="1" xfId="0" applyNumberFormat="1" applyFont="1" applyFill="1" applyBorder="1" applyAlignment="1" applyProtection="1">
      <alignment horizontal="right" vertical="center"/>
    </xf>
    <xf numFmtId="167" fontId="9" fillId="8" borderId="1" xfId="0" applyNumberFormat="1" applyFont="1" applyFill="1" applyBorder="1" applyAlignment="1">
      <alignment horizontal="right" vertical="center" wrapText="1"/>
    </xf>
    <xf numFmtId="167" fontId="9" fillId="4" borderId="1" xfId="0" applyNumberFormat="1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 wrapText="1"/>
    </xf>
    <xf numFmtId="167" fontId="3" fillId="7" borderId="1" xfId="0" applyNumberFormat="1" applyFont="1" applyFill="1" applyBorder="1" applyAlignment="1">
      <alignment horizontal="right" vertical="center" wrapText="1"/>
    </xf>
    <xf numFmtId="49" fontId="3" fillId="7" borderId="1" xfId="0" applyNumberFormat="1" applyFont="1" applyFill="1" applyBorder="1" applyAlignment="1">
      <alignment horizontal="justify" vertical="center"/>
    </xf>
    <xf numFmtId="0" fontId="3" fillId="5" borderId="1" xfId="0" applyNumberFormat="1" applyFont="1" applyFill="1" applyBorder="1" applyAlignment="1">
      <alignment horizontal="justify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justify" vertical="center" wrapText="1"/>
    </xf>
    <xf numFmtId="49" fontId="8" fillId="7" borderId="1" xfId="0" applyNumberFormat="1" applyFont="1" applyFill="1" applyBorder="1" applyAlignment="1">
      <alignment horizontal="center" vertical="center" wrapText="1"/>
    </xf>
    <xf numFmtId="167" fontId="9" fillId="5" borderId="1" xfId="0" applyNumberFormat="1" applyFont="1" applyFill="1" applyBorder="1" applyAlignment="1">
      <alignment horizontal="right" vertical="center" wrapText="1"/>
    </xf>
    <xf numFmtId="165" fontId="9" fillId="4" borderId="1" xfId="3" applyNumberFormat="1" applyFont="1" applyFill="1" applyBorder="1" applyAlignment="1">
      <alignment horizontal="right" vertical="center"/>
    </xf>
    <xf numFmtId="165" fontId="11" fillId="4" borderId="1" xfId="0" applyNumberFormat="1" applyFont="1" applyFill="1" applyBorder="1" applyAlignment="1">
      <alignment horizontal="right" vertical="center"/>
    </xf>
    <xf numFmtId="168" fontId="9" fillId="4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Fill="1" applyBorder="1" applyAlignment="1">
      <alignment horizontal="left" vertical="center"/>
    </xf>
    <xf numFmtId="49" fontId="8" fillId="5" borderId="1" xfId="0" applyNumberFormat="1" applyFont="1" applyFill="1" applyBorder="1" applyAlignment="1">
      <alignment horizontal="left" vertical="center" indent="1"/>
    </xf>
    <xf numFmtId="49" fontId="8" fillId="7" borderId="1" xfId="0" applyNumberFormat="1" applyFont="1" applyFill="1" applyBorder="1" applyAlignment="1">
      <alignment horizontal="left" vertical="center" wrapText="1"/>
    </xf>
    <xf numFmtId="167" fontId="2" fillId="7" borderId="1" xfId="0" applyNumberFormat="1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justify" vertical="center"/>
    </xf>
    <xf numFmtId="167" fontId="2" fillId="7" borderId="2" xfId="0" applyNumberFormat="1" applyFont="1" applyFill="1" applyBorder="1" applyAlignment="1">
      <alignment horizontal="right" vertical="center"/>
    </xf>
    <xf numFmtId="167" fontId="9" fillId="7" borderId="1" xfId="0" applyNumberFormat="1" applyFont="1" applyFill="1" applyBorder="1" applyAlignment="1">
      <alignment horizontal="right" vertical="center" wrapText="1"/>
    </xf>
    <xf numFmtId="167" fontId="8" fillId="7" borderId="1" xfId="0" applyNumberFormat="1" applyFont="1" applyFill="1" applyBorder="1" applyAlignment="1">
      <alignment horizontal="right" vertical="center" wrapText="1"/>
    </xf>
    <xf numFmtId="164" fontId="3" fillId="7" borderId="1" xfId="3" applyNumberFormat="1" applyFont="1" applyFill="1" applyBorder="1" applyAlignment="1">
      <alignment horizontal="right" vertical="center"/>
    </xf>
    <xf numFmtId="166" fontId="3" fillId="7" borderId="1" xfId="4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justify" wrapText="1"/>
    </xf>
    <xf numFmtId="165" fontId="2" fillId="2" borderId="2" xfId="3" applyNumberFormat="1" applyFont="1" applyFill="1" applyBorder="1" applyAlignment="1">
      <alignment horizontal="right" vertical="center"/>
    </xf>
    <xf numFmtId="165" fontId="2" fillId="2" borderId="3" xfId="3" applyNumberFormat="1" applyFont="1" applyFill="1" applyBorder="1" applyAlignment="1">
      <alignment horizontal="right" vertical="center"/>
    </xf>
    <xf numFmtId="168" fontId="2" fillId="2" borderId="2" xfId="0" applyNumberFormat="1" applyFont="1" applyFill="1" applyBorder="1" applyAlignment="1">
      <alignment horizontal="right" vertical="center"/>
    </xf>
    <xf numFmtId="168" fontId="2" fillId="2" borderId="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7" fontId="9" fillId="2" borderId="2" xfId="0" applyNumberFormat="1" applyFont="1" applyFill="1" applyBorder="1" applyAlignment="1">
      <alignment horizontal="right" vertical="center"/>
    </xf>
    <xf numFmtId="167" fontId="9" fillId="2" borderId="3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67" fontId="2" fillId="5" borderId="2" xfId="0" applyNumberFormat="1" applyFont="1" applyFill="1" applyBorder="1" applyAlignment="1">
      <alignment horizontal="right" vertical="center"/>
    </xf>
    <xf numFmtId="167" fontId="2" fillId="5" borderId="3" xfId="0" applyNumberFormat="1" applyFont="1" applyFill="1" applyBorder="1" applyAlignment="1">
      <alignment horizontal="right" vertical="center"/>
    </xf>
    <xf numFmtId="167" fontId="2" fillId="7" borderId="2" xfId="0" applyNumberFormat="1" applyFont="1" applyFill="1" applyBorder="1" applyAlignment="1">
      <alignment horizontal="right" vertical="center"/>
    </xf>
    <xf numFmtId="167" fontId="2" fillId="7" borderId="3" xfId="0" applyNumberFormat="1" applyFont="1" applyFill="1" applyBorder="1" applyAlignment="1">
      <alignment horizontal="right" vertical="center"/>
    </xf>
  </cellXfs>
  <cellStyles count="5">
    <cellStyle name="Обычный" xfId="0" builtinId="0"/>
    <cellStyle name="Обычный 2" xfId="1"/>
    <cellStyle name="Обычный_Tmp43" xfId="2"/>
    <cellStyle name="Процентный" xfId="3" builtinId="5"/>
    <cellStyle name="Финансовый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7F9C2"/>
      <color rgb="FFFDE9D9"/>
      <color rgb="FFB7F8C2"/>
      <color rgb="FFCCFFCC"/>
      <color rgb="FFB7FFC2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M228"/>
  <sheetViews>
    <sheetView tabSelected="1" showRuler="0" view="pageBreakPreview" zoomScale="70" zoomScaleNormal="100" zoomScaleSheetLayoutView="70" workbookViewId="0">
      <pane ySplit="5" topLeftCell="A187" activePane="bottomLeft" state="frozenSplit"/>
      <selection pane="bottomLeft" activeCell="G48" sqref="G48"/>
    </sheetView>
  </sheetViews>
  <sheetFormatPr defaultColWidth="9.140625" defaultRowHeight="13.5"/>
  <cols>
    <col min="1" max="1" width="18.7109375" style="32" customWidth="1"/>
    <col min="2" max="2" width="39.7109375" style="71" customWidth="1"/>
    <col min="3" max="3" width="10.140625" style="71" customWidth="1"/>
    <col min="4" max="4" width="10.5703125" style="72" customWidth="1"/>
    <col min="5" max="5" width="9.5703125" style="73" customWidth="1"/>
    <col min="6" max="7" width="8.85546875" style="73" customWidth="1"/>
    <col min="8" max="8" width="8.140625" style="73" customWidth="1"/>
    <col min="9" max="9" width="8.5703125" style="73" customWidth="1"/>
    <col min="10" max="10" width="9.5703125" style="73" customWidth="1"/>
    <col min="11" max="11" width="8.7109375" style="73" customWidth="1"/>
    <col min="12" max="12" width="9.28515625" style="73" customWidth="1"/>
    <col min="13" max="16384" width="9.140625" style="2"/>
  </cols>
  <sheetData>
    <row r="1" spans="1:13">
      <c r="H1" s="233"/>
      <c r="I1" s="233"/>
      <c r="J1" s="233"/>
      <c r="K1" s="233"/>
      <c r="L1" s="233"/>
    </row>
    <row r="2" spans="1:13" ht="16.5">
      <c r="A2" s="236" t="s">
        <v>251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74"/>
    </row>
    <row r="3" spans="1:13">
      <c r="A3" s="75"/>
      <c r="B3" s="76"/>
      <c r="C3" s="76"/>
      <c r="D3" s="77"/>
      <c r="E3" s="78"/>
      <c r="F3" s="13"/>
      <c r="G3" s="13"/>
      <c r="L3" s="32" t="s">
        <v>130</v>
      </c>
    </row>
    <row r="4" spans="1:13" s="12" customFormat="1" ht="76.5">
      <c r="A4" s="204" t="s">
        <v>18</v>
      </c>
      <c r="B4" s="205" t="s">
        <v>20</v>
      </c>
      <c r="C4" s="206" t="s">
        <v>71</v>
      </c>
      <c r="D4" s="206" t="s">
        <v>233</v>
      </c>
      <c r="E4" s="112" t="s">
        <v>237</v>
      </c>
      <c r="F4" s="112" t="s">
        <v>234</v>
      </c>
      <c r="G4" s="112" t="s">
        <v>235</v>
      </c>
      <c r="H4" s="112" t="s">
        <v>207</v>
      </c>
      <c r="I4" s="112" t="s">
        <v>236</v>
      </c>
      <c r="J4" s="111" t="s">
        <v>19</v>
      </c>
      <c r="K4" s="112" t="s">
        <v>11</v>
      </c>
      <c r="L4" s="113" t="s">
        <v>252</v>
      </c>
    </row>
    <row r="5" spans="1:13" s="46" customFormat="1" ht="11.25">
      <c r="A5" s="45">
        <v>1</v>
      </c>
      <c r="B5" s="79" t="s">
        <v>72</v>
      </c>
      <c r="C5" s="158">
        <v>3</v>
      </c>
      <c r="D5" s="47">
        <v>4</v>
      </c>
      <c r="E5" s="45">
        <v>5</v>
      </c>
      <c r="F5" s="45">
        <v>6</v>
      </c>
      <c r="G5" s="45">
        <v>7</v>
      </c>
      <c r="H5" s="115">
        <v>8</v>
      </c>
      <c r="I5" s="115">
        <v>9</v>
      </c>
      <c r="J5" s="114">
        <v>10</v>
      </c>
      <c r="K5" s="115">
        <v>11</v>
      </c>
      <c r="L5" s="116">
        <v>12</v>
      </c>
    </row>
    <row r="6" spans="1:13" s="14" customFormat="1" ht="16.5">
      <c r="A6" s="50" t="s">
        <v>28</v>
      </c>
      <c r="B6" s="168" t="s">
        <v>175</v>
      </c>
      <c r="C6" s="159">
        <f>C7+C22</f>
        <v>610404</v>
      </c>
      <c r="D6" s="159">
        <f t="shared" ref="D6:G6" si="0">D7+D22</f>
        <v>634678.9</v>
      </c>
      <c r="E6" s="159">
        <f t="shared" si="0"/>
        <v>207612.2</v>
      </c>
      <c r="F6" s="159">
        <f t="shared" ref="F6" si="1">F7+F22</f>
        <v>345518.8</v>
      </c>
      <c r="G6" s="159">
        <f t="shared" si="0"/>
        <v>198417.7</v>
      </c>
      <c r="H6" s="151">
        <f t="shared" ref="H6:H33" si="2">G6/Всего_доходов_2003</f>
        <v>0.97499999999999998</v>
      </c>
      <c r="I6" s="153">
        <f>IF(E6=0,"0,0%",G6/E6)</f>
        <v>0.95599999999999996</v>
      </c>
      <c r="J6" s="98">
        <f>G6-D6</f>
        <v>-436261.2</v>
      </c>
      <c r="K6" s="97">
        <f>G6/D6</f>
        <v>0.313</v>
      </c>
      <c r="L6" s="125">
        <f>G6-F6</f>
        <v>-147101.1</v>
      </c>
      <c r="M6" s="23"/>
    </row>
    <row r="7" spans="1:13" s="14" customFormat="1">
      <c r="A7" s="50"/>
      <c r="B7" s="51" t="s">
        <v>12</v>
      </c>
      <c r="C7" s="159">
        <f>C9+C11+C13+C16</f>
        <v>510227.20000000001</v>
      </c>
      <c r="D7" s="159">
        <f t="shared" ref="D7:G7" si="3">D9+D11+D13+D16</f>
        <v>534502.1</v>
      </c>
      <c r="E7" s="159">
        <f t="shared" si="3"/>
        <v>172844.2</v>
      </c>
      <c r="F7" s="159">
        <f t="shared" ref="F7" si="4">F9+F11+F13+F16</f>
        <v>180770.9</v>
      </c>
      <c r="G7" s="159">
        <f t="shared" si="3"/>
        <v>164335.29999999999</v>
      </c>
      <c r="H7" s="151">
        <f t="shared" si="2"/>
        <v>0.80800000000000005</v>
      </c>
      <c r="I7" s="153">
        <f t="shared" ref="I7:I48" si="5">IF(E7=0,"0,0%",G7/E7)</f>
        <v>0.95099999999999996</v>
      </c>
      <c r="J7" s="98">
        <f t="shared" ref="J7:J40" si="6">G7-D7</f>
        <v>-370166.8</v>
      </c>
      <c r="K7" s="97">
        <f t="shared" ref="K7:K40" si="7">G7/D7</f>
        <v>0.307</v>
      </c>
      <c r="L7" s="125">
        <f>G7-F7</f>
        <v>-16435.599999999999</v>
      </c>
      <c r="M7" s="23"/>
    </row>
    <row r="8" spans="1:13" s="14" customFormat="1">
      <c r="A8" s="50" t="s">
        <v>29</v>
      </c>
      <c r="B8" s="51" t="s">
        <v>30</v>
      </c>
      <c r="C8" s="159">
        <f>SUM(C9)</f>
        <v>261382.6</v>
      </c>
      <c r="D8" s="159">
        <f t="shared" ref="D8:G8" si="8">SUM(D9)</f>
        <v>285657.5</v>
      </c>
      <c r="E8" s="159">
        <f t="shared" si="8"/>
        <v>112679.4</v>
      </c>
      <c r="F8" s="159">
        <f t="shared" si="8"/>
        <v>105956.3</v>
      </c>
      <c r="G8" s="159">
        <f t="shared" si="8"/>
        <v>108290</v>
      </c>
      <c r="H8" s="151">
        <f t="shared" si="2"/>
        <v>0.53200000000000003</v>
      </c>
      <c r="I8" s="153">
        <f t="shared" si="5"/>
        <v>0.96099999999999997</v>
      </c>
      <c r="J8" s="98">
        <f t="shared" si="6"/>
        <v>-177367.5</v>
      </c>
      <c r="K8" s="97">
        <f t="shared" si="7"/>
        <v>0.379</v>
      </c>
      <c r="L8" s="125">
        <f>SUM(L9)</f>
        <v>2333.6999999999998</v>
      </c>
      <c r="M8" s="23"/>
    </row>
    <row r="9" spans="1:13" s="14" customFormat="1">
      <c r="A9" s="50" t="s">
        <v>31</v>
      </c>
      <c r="B9" s="124" t="s">
        <v>13</v>
      </c>
      <c r="C9" s="159">
        <f>C10</f>
        <v>261382.6</v>
      </c>
      <c r="D9" s="159">
        <f t="shared" ref="D9:G9" si="9">D10</f>
        <v>285657.5</v>
      </c>
      <c r="E9" s="159">
        <f t="shared" si="9"/>
        <v>112679.4</v>
      </c>
      <c r="F9" s="159">
        <f t="shared" si="9"/>
        <v>105956.3</v>
      </c>
      <c r="G9" s="159">
        <f t="shared" si="9"/>
        <v>108290</v>
      </c>
      <c r="H9" s="151">
        <f t="shared" si="2"/>
        <v>0.53200000000000003</v>
      </c>
      <c r="I9" s="153">
        <f t="shared" si="5"/>
        <v>0.96099999999999997</v>
      </c>
      <c r="J9" s="98">
        <f t="shared" si="6"/>
        <v>-177367.5</v>
      </c>
      <c r="K9" s="97">
        <f t="shared" si="7"/>
        <v>0.379</v>
      </c>
      <c r="L9" s="125">
        <f>G9-F9</f>
        <v>2333.6999999999998</v>
      </c>
      <c r="M9" s="23"/>
    </row>
    <row r="10" spans="1:13" s="14" customFormat="1" ht="83.25">
      <c r="A10" s="52" t="s">
        <v>131</v>
      </c>
      <c r="B10" s="54" t="s">
        <v>148</v>
      </c>
      <c r="C10" s="160">
        <v>261382.6</v>
      </c>
      <c r="D10" s="137">
        <v>285657.5</v>
      </c>
      <c r="E10" s="137">
        <v>112679.4</v>
      </c>
      <c r="F10" s="194">
        <v>105956.3</v>
      </c>
      <c r="G10" s="194">
        <v>108290</v>
      </c>
      <c r="H10" s="146">
        <f t="shared" si="2"/>
        <v>0.53200000000000003</v>
      </c>
      <c r="I10" s="153">
        <f t="shared" si="5"/>
        <v>0.96099999999999997</v>
      </c>
      <c r="J10" s="118">
        <f t="shared" si="6"/>
        <v>-177367.5</v>
      </c>
      <c r="K10" s="117">
        <f t="shared" si="7"/>
        <v>0.379</v>
      </c>
      <c r="L10" s="125">
        <f>G10-F10</f>
        <v>2333.6999999999998</v>
      </c>
      <c r="M10" s="23"/>
    </row>
    <row r="11" spans="1:13" s="14" customFormat="1" ht="27">
      <c r="A11" s="50" t="s">
        <v>171</v>
      </c>
      <c r="B11" s="57" t="s">
        <v>177</v>
      </c>
      <c r="C11" s="159">
        <f>C12</f>
        <v>14038.2</v>
      </c>
      <c r="D11" s="159">
        <f t="shared" ref="D11:G11" si="10">D12</f>
        <v>14038.2</v>
      </c>
      <c r="E11" s="159">
        <f t="shared" si="10"/>
        <v>9542.6</v>
      </c>
      <c r="F11" s="159">
        <f t="shared" si="10"/>
        <v>6737.1</v>
      </c>
      <c r="G11" s="159">
        <f t="shared" si="10"/>
        <v>9058.4</v>
      </c>
      <c r="H11" s="146">
        <f t="shared" si="2"/>
        <v>4.4999999999999998E-2</v>
      </c>
      <c r="I11" s="153">
        <f t="shared" si="5"/>
        <v>0.94899999999999995</v>
      </c>
      <c r="J11" s="118">
        <f t="shared" si="6"/>
        <v>-4979.8</v>
      </c>
      <c r="K11" s="117">
        <f t="shared" si="7"/>
        <v>0.64500000000000002</v>
      </c>
      <c r="L11" s="125">
        <f>G11-F11</f>
        <v>2321.3000000000002</v>
      </c>
      <c r="M11" s="23"/>
    </row>
    <row r="12" spans="1:13" s="14" customFormat="1" ht="27">
      <c r="A12" s="52" t="s">
        <v>210</v>
      </c>
      <c r="B12" s="191" t="s">
        <v>178</v>
      </c>
      <c r="C12" s="160">
        <v>14038.2</v>
      </c>
      <c r="D12" s="137">
        <v>14038.2</v>
      </c>
      <c r="E12" s="194">
        <v>9542.6</v>
      </c>
      <c r="F12" s="194">
        <v>6737.1</v>
      </c>
      <c r="G12" s="137">
        <v>9058.4</v>
      </c>
      <c r="H12" s="146">
        <f t="shared" si="2"/>
        <v>4.4999999999999998E-2</v>
      </c>
      <c r="I12" s="153">
        <f t="shared" si="5"/>
        <v>0.94899999999999995</v>
      </c>
      <c r="J12" s="118">
        <f t="shared" si="6"/>
        <v>-4979.8</v>
      </c>
      <c r="K12" s="117">
        <f t="shared" si="7"/>
        <v>0.64500000000000002</v>
      </c>
      <c r="L12" s="125">
        <f t="shared" ref="L12:L48" si="11">G12-F12</f>
        <v>2321.3000000000002</v>
      </c>
      <c r="M12" s="23"/>
    </row>
    <row r="13" spans="1:13" s="20" customFormat="1">
      <c r="A13" s="50" t="s">
        <v>92</v>
      </c>
      <c r="B13" s="57" t="s">
        <v>14</v>
      </c>
      <c r="C13" s="159">
        <f>SUM(C14)</f>
        <v>722.2</v>
      </c>
      <c r="D13" s="159">
        <f t="shared" ref="D13:G13" si="12">SUM(D14)</f>
        <v>722.2</v>
      </c>
      <c r="E13" s="159">
        <f t="shared" si="12"/>
        <v>722.2</v>
      </c>
      <c r="F13" s="159">
        <f t="shared" si="12"/>
        <v>778</v>
      </c>
      <c r="G13" s="159">
        <f t="shared" si="12"/>
        <v>940.5</v>
      </c>
      <c r="H13" s="151">
        <f t="shared" si="2"/>
        <v>5.0000000000000001E-3</v>
      </c>
      <c r="I13" s="153">
        <f t="shared" si="5"/>
        <v>1.302</v>
      </c>
      <c r="J13" s="98">
        <f t="shared" si="6"/>
        <v>218.3</v>
      </c>
      <c r="K13" s="97">
        <f t="shared" si="7"/>
        <v>1.302</v>
      </c>
      <c r="L13" s="125">
        <f t="shared" si="11"/>
        <v>162.5</v>
      </c>
      <c r="M13" s="24"/>
    </row>
    <row r="14" spans="1:13" s="20" customFormat="1">
      <c r="A14" s="50" t="s">
        <v>32</v>
      </c>
      <c r="B14" s="51" t="s">
        <v>0</v>
      </c>
      <c r="C14" s="159">
        <f>C15</f>
        <v>722.2</v>
      </c>
      <c r="D14" s="159">
        <f t="shared" ref="D14:G14" si="13">D15</f>
        <v>722.2</v>
      </c>
      <c r="E14" s="159">
        <f t="shared" si="13"/>
        <v>722.2</v>
      </c>
      <c r="F14" s="159">
        <f t="shared" si="13"/>
        <v>778</v>
      </c>
      <c r="G14" s="159">
        <f t="shared" si="13"/>
        <v>940.5</v>
      </c>
      <c r="H14" s="151">
        <f t="shared" si="2"/>
        <v>5.0000000000000001E-3</v>
      </c>
      <c r="I14" s="153">
        <f t="shared" si="5"/>
        <v>1.302</v>
      </c>
      <c r="J14" s="98">
        <f t="shared" si="6"/>
        <v>218.3</v>
      </c>
      <c r="K14" s="97">
        <f t="shared" si="7"/>
        <v>1.302</v>
      </c>
      <c r="L14" s="125">
        <f t="shared" si="11"/>
        <v>162.5</v>
      </c>
      <c r="M14" s="24"/>
    </row>
    <row r="15" spans="1:13" s="20" customFormat="1">
      <c r="A15" s="52" t="s">
        <v>80</v>
      </c>
      <c r="B15" s="54" t="s">
        <v>0</v>
      </c>
      <c r="C15" s="161">
        <v>722.2</v>
      </c>
      <c r="D15" s="28">
        <v>722.2</v>
      </c>
      <c r="E15" s="195">
        <v>722.2</v>
      </c>
      <c r="F15" s="195">
        <v>778</v>
      </c>
      <c r="G15" s="28">
        <v>940.5</v>
      </c>
      <c r="H15" s="146">
        <f t="shared" si="2"/>
        <v>5.0000000000000001E-3</v>
      </c>
      <c r="I15" s="153">
        <f t="shared" si="5"/>
        <v>1.302</v>
      </c>
      <c r="J15" s="118">
        <f t="shared" si="6"/>
        <v>218.3</v>
      </c>
      <c r="K15" s="117">
        <f t="shared" si="7"/>
        <v>1.302</v>
      </c>
      <c r="L15" s="125">
        <f t="shared" si="11"/>
        <v>162.5</v>
      </c>
      <c r="M15" s="24"/>
    </row>
    <row r="16" spans="1:13" s="20" customFormat="1">
      <c r="A16" s="50" t="s">
        <v>93</v>
      </c>
      <c r="B16" s="51" t="s">
        <v>15</v>
      </c>
      <c r="C16" s="159">
        <f>SUM(C17+C19)</f>
        <v>234084.2</v>
      </c>
      <c r="D16" s="159">
        <f t="shared" ref="D16:G16" si="14">SUM(D17+D19)</f>
        <v>234084.2</v>
      </c>
      <c r="E16" s="159">
        <f t="shared" si="14"/>
        <v>49900</v>
      </c>
      <c r="F16" s="159">
        <f t="shared" ref="F16" si="15">SUM(F17+F19)</f>
        <v>67299.5</v>
      </c>
      <c r="G16" s="159">
        <f t="shared" si="14"/>
        <v>46046.400000000001</v>
      </c>
      <c r="H16" s="151">
        <f t="shared" si="2"/>
        <v>0.22600000000000001</v>
      </c>
      <c r="I16" s="153">
        <f t="shared" si="5"/>
        <v>0.92300000000000004</v>
      </c>
      <c r="J16" s="98">
        <f t="shared" si="6"/>
        <v>-188037.8</v>
      </c>
      <c r="K16" s="97">
        <f t="shared" si="7"/>
        <v>0.19700000000000001</v>
      </c>
      <c r="L16" s="125">
        <f t="shared" si="11"/>
        <v>-21253.1</v>
      </c>
      <c r="M16" s="24"/>
    </row>
    <row r="17" spans="1:13" s="26" customFormat="1">
      <c r="A17" s="50" t="s">
        <v>35</v>
      </c>
      <c r="B17" s="51" t="s">
        <v>34</v>
      </c>
      <c r="C17" s="159">
        <f>C18</f>
        <v>84084.2</v>
      </c>
      <c r="D17" s="159">
        <f t="shared" ref="D17:G17" si="16">D18</f>
        <v>84084.2</v>
      </c>
      <c r="E17" s="159">
        <f t="shared" si="16"/>
        <v>13000</v>
      </c>
      <c r="F17" s="159">
        <f t="shared" si="16"/>
        <v>15517.8</v>
      </c>
      <c r="G17" s="159">
        <f t="shared" si="16"/>
        <v>9965.2000000000007</v>
      </c>
      <c r="H17" s="151">
        <f t="shared" si="2"/>
        <v>4.9000000000000002E-2</v>
      </c>
      <c r="I17" s="153">
        <f t="shared" si="5"/>
        <v>0.76700000000000002</v>
      </c>
      <c r="J17" s="98">
        <f t="shared" si="6"/>
        <v>-74119</v>
      </c>
      <c r="K17" s="97">
        <f t="shared" si="7"/>
        <v>0.11899999999999999</v>
      </c>
      <c r="L17" s="125">
        <f t="shared" si="11"/>
        <v>-5552.6</v>
      </c>
      <c r="M17" s="25"/>
    </row>
    <row r="18" spans="1:13" s="20" customFormat="1" ht="40.5">
      <c r="A18" s="52" t="s">
        <v>211</v>
      </c>
      <c r="B18" s="54" t="s">
        <v>36</v>
      </c>
      <c r="C18" s="162">
        <v>84084.2</v>
      </c>
      <c r="D18" s="70">
        <v>84084.2</v>
      </c>
      <c r="E18" s="196">
        <v>13000</v>
      </c>
      <c r="F18" s="196">
        <v>15517.8</v>
      </c>
      <c r="G18" s="70">
        <v>9965.2000000000007</v>
      </c>
      <c r="H18" s="146">
        <f t="shared" si="2"/>
        <v>4.9000000000000002E-2</v>
      </c>
      <c r="I18" s="153">
        <f t="shared" si="5"/>
        <v>0.76700000000000002</v>
      </c>
      <c r="J18" s="118">
        <f t="shared" si="6"/>
        <v>-74119</v>
      </c>
      <c r="K18" s="117">
        <f t="shared" si="7"/>
        <v>0.11899999999999999</v>
      </c>
      <c r="L18" s="125">
        <f t="shared" si="11"/>
        <v>-5552.6</v>
      </c>
      <c r="M18" s="24"/>
    </row>
    <row r="19" spans="1:13" s="26" customFormat="1">
      <c r="A19" s="50" t="s">
        <v>33</v>
      </c>
      <c r="B19" s="51" t="s">
        <v>16</v>
      </c>
      <c r="C19" s="159">
        <f>SUM(C20:C21)</f>
        <v>150000</v>
      </c>
      <c r="D19" s="159">
        <f t="shared" ref="D19:G19" si="17">SUM(D20:D21)</f>
        <v>150000</v>
      </c>
      <c r="E19" s="159">
        <f t="shared" si="17"/>
        <v>36900</v>
      </c>
      <c r="F19" s="159">
        <f t="shared" ref="F19" si="18">SUM(F20:F21)</f>
        <v>51781.7</v>
      </c>
      <c r="G19" s="159">
        <f t="shared" si="17"/>
        <v>36081.199999999997</v>
      </c>
      <c r="H19" s="151">
        <f t="shared" si="2"/>
        <v>0.17699999999999999</v>
      </c>
      <c r="I19" s="153">
        <f t="shared" si="5"/>
        <v>0.97799999999999998</v>
      </c>
      <c r="J19" s="98">
        <f t="shared" si="6"/>
        <v>-113918.8</v>
      </c>
      <c r="K19" s="97">
        <f t="shared" si="7"/>
        <v>0.24099999999999999</v>
      </c>
      <c r="L19" s="125">
        <f t="shared" si="11"/>
        <v>-15700.5</v>
      </c>
      <c r="M19" s="25"/>
    </row>
    <row r="20" spans="1:13" s="26" customFormat="1">
      <c r="A20" s="192" t="s">
        <v>212</v>
      </c>
      <c r="B20" s="54" t="s">
        <v>208</v>
      </c>
      <c r="C20" s="162">
        <v>75000</v>
      </c>
      <c r="D20" s="70">
        <v>75000</v>
      </c>
      <c r="E20" s="196">
        <v>32000</v>
      </c>
      <c r="F20" s="70">
        <v>40352.300000000003</v>
      </c>
      <c r="G20" s="70">
        <v>31293.8</v>
      </c>
      <c r="H20" s="146">
        <f t="shared" si="2"/>
        <v>0.154</v>
      </c>
      <c r="I20" s="153">
        <f t="shared" si="5"/>
        <v>0.97799999999999998</v>
      </c>
      <c r="J20" s="118">
        <f t="shared" si="6"/>
        <v>-43706.2</v>
      </c>
      <c r="K20" s="117">
        <f t="shared" si="7"/>
        <v>0.41699999999999998</v>
      </c>
      <c r="L20" s="125">
        <f t="shared" si="11"/>
        <v>-9058.5</v>
      </c>
      <c r="M20" s="25"/>
    </row>
    <row r="21" spans="1:13" s="20" customFormat="1">
      <c r="A21" s="192" t="s">
        <v>213</v>
      </c>
      <c r="B21" s="54" t="s">
        <v>209</v>
      </c>
      <c r="C21" s="162">
        <v>75000</v>
      </c>
      <c r="D21" s="70">
        <v>75000</v>
      </c>
      <c r="E21" s="196">
        <v>4900</v>
      </c>
      <c r="F21" s="70">
        <v>11429.4</v>
      </c>
      <c r="G21" s="70">
        <v>4787.3999999999996</v>
      </c>
      <c r="H21" s="146">
        <f t="shared" si="2"/>
        <v>2.4E-2</v>
      </c>
      <c r="I21" s="153">
        <f t="shared" si="5"/>
        <v>0.97699999999999998</v>
      </c>
      <c r="J21" s="118">
        <f t="shared" si="6"/>
        <v>-70212.600000000006</v>
      </c>
      <c r="K21" s="117">
        <f t="shared" si="7"/>
        <v>6.4000000000000001E-2</v>
      </c>
      <c r="L21" s="125">
        <f t="shared" si="11"/>
        <v>-6642</v>
      </c>
      <c r="M21" s="24"/>
    </row>
    <row r="22" spans="1:13" s="26" customFormat="1">
      <c r="A22" s="50"/>
      <c r="B22" s="51" t="s">
        <v>17</v>
      </c>
      <c r="C22" s="159">
        <f>C23+C28+C35+C32</f>
        <v>100176.8</v>
      </c>
      <c r="D22" s="159">
        <f t="shared" ref="D22:G22" si="19">D23+D28+D35+D32</f>
        <v>100176.8</v>
      </c>
      <c r="E22" s="159">
        <f t="shared" si="19"/>
        <v>34768</v>
      </c>
      <c r="F22" s="159">
        <f t="shared" ref="F22" si="20">F23+F28+F35+F32</f>
        <v>164747.9</v>
      </c>
      <c r="G22" s="159">
        <f t="shared" si="19"/>
        <v>34082.400000000001</v>
      </c>
      <c r="H22" s="151">
        <f t="shared" si="2"/>
        <v>0.16800000000000001</v>
      </c>
      <c r="I22" s="153">
        <f t="shared" si="5"/>
        <v>0.98</v>
      </c>
      <c r="J22" s="98">
        <f t="shared" si="6"/>
        <v>-66094.399999999994</v>
      </c>
      <c r="K22" s="97">
        <f t="shared" si="7"/>
        <v>0.34</v>
      </c>
      <c r="L22" s="125">
        <f t="shared" si="11"/>
        <v>-130665.5</v>
      </c>
      <c r="M22" s="25"/>
    </row>
    <row r="23" spans="1:13" s="20" customFormat="1" ht="40.5">
      <c r="A23" s="50" t="s">
        <v>38</v>
      </c>
      <c r="B23" s="51" t="s">
        <v>1</v>
      </c>
      <c r="C23" s="185">
        <f>SUM(C24:C27)</f>
        <v>92016.3</v>
      </c>
      <c r="D23" s="185">
        <f t="shared" ref="D23:G23" si="21">SUM(D24:D27)</f>
        <v>92016.3</v>
      </c>
      <c r="E23" s="159">
        <f t="shared" si="21"/>
        <v>29855.5</v>
      </c>
      <c r="F23" s="185">
        <f t="shared" ref="F23" si="22">SUM(F24:F27)</f>
        <v>36754.300000000003</v>
      </c>
      <c r="G23" s="185">
        <f t="shared" si="21"/>
        <v>28911.4</v>
      </c>
      <c r="H23" s="151">
        <f t="shared" si="2"/>
        <v>0.14199999999999999</v>
      </c>
      <c r="I23" s="153">
        <f t="shared" si="5"/>
        <v>0.96799999999999997</v>
      </c>
      <c r="J23" s="98">
        <f t="shared" si="6"/>
        <v>-63104.9</v>
      </c>
      <c r="K23" s="97">
        <f t="shared" si="7"/>
        <v>0.314</v>
      </c>
      <c r="L23" s="125">
        <f t="shared" si="11"/>
        <v>-7842.9</v>
      </c>
      <c r="M23" s="24"/>
    </row>
    <row r="24" spans="1:13" s="20" customFormat="1" ht="81">
      <c r="A24" s="52" t="s">
        <v>182</v>
      </c>
      <c r="B24" s="54" t="s">
        <v>41</v>
      </c>
      <c r="C24" s="162">
        <v>64250</v>
      </c>
      <c r="D24" s="28">
        <v>64250</v>
      </c>
      <c r="E24" s="196">
        <v>24125</v>
      </c>
      <c r="F24" s="196">
        <v>28353</v>
      </c>
      <c r="G24" s="70">
        <v>23291.599999999999</v>
      </c>
      <c r="H24" s="146">
        <f t="shared" si="2"/>
        <v>0.114</v>
      </c>
      <c r="I24" s="153">
        <f t="shared" si="5"/>
        <v>0.96499999999999997</v>
      </c>
      <c r="J24" s="118">
        <f t="shared" si="6"/>
        <v>-40958.400000000001</v>
      </c>
      <c r="K24" s="117">
        <f t="shared" si="7"/>
        <v>0.36299999999999999</v>
      </c>
      <c r="L24" s="125">
        <f t="shared" si="11"/>
        <v>-5061.3999999999996</v>
      </c>
      <c r="M24" s="24"/>
    </row>
    <row r="25" spans="1:13" s="20" customFormat="1" ht="27">
      <c r="A25" s="192" t="s">
        <v>180</v>
      </c>
      <c r="B25" s="54" t="s">
        <v>154</v>
      </c>
      <c r="C25" s="162">
        <v>3250</v>
      </c>
      <c r="D25" s="28">
        <v>3250</v>
      </c>
      <c r="E25" s="196">
        <v>1385</v>
      </c>
      <c r="F25" s="70">
        <v>1873.3</v>
      </c>
      <c r="G25" s="70">
        <v>1361.9</v>
      </c>
      <c r="H25" s="146">
        <f t="shared" ref="H25" si="23">G25/Всего_доходов_2003</f>
        <v>7.0000000000000001E-3</v>
      </c>
      <c r="I25" s="153">
        <f t="shared" ref="I25" si="24">IF(E25=0,"0,0%",G25/E25)</f>
        <v>0.98299999999999998</v>
      </c>
      <c r="J25" s="118">
        <f t="shared" ref="J25" si="25">G25-D25</f>
        <v>-1888.1</v>
      </c>
      <c r="K25" s="117">
        <f>G25/D25</f>
        <v>0.41899999999999998</v>
      </c>
      <c r="L25" s="125">
        <f t="shared" si="11"/>
        <v>-511.4</v>
      </c>
      <c r="M25" s="24"/>
    </row>
    <row r="26" spans="1:13" s="20" customFormat="1" ht="54" hidden="1" customHeight="1">
      <c r="A26" s="192" t="s">
        <v>181</v>
      </c>
      <c r="B26" s="54" t="s">
        <v>146</v>
      </c>
      <c r="C26" s="162">
        <v>0</v>
      </c>
      <c r="D26" s="28">
        <v>0</v>
      </c>
      <c r="E26" s="196">
        <v>0</v>
      </c>
      <c r="F26" s="70">
        <v>0</v>
      </c>
      <c r="G26" s="70">
        <v>0</v>
      </c>
      <c r="H26" s="146">
        <f t="shared" si="2"/>
        <v>0</v>
      </c>
      <c r="I26" s="153" t="str">
        <f t="shared" si="5"/>
        <v>0,0%</v>
      </c>
      <c r="J26" s="118">
        <f t="shared" si="6"/>
        <v>0</v>
      </c>
      <c r="K26" s="117" t="e">
        <f t="shared" si="7"/>
        <v>#DIV/0!</v>
      </c>
      <c r="L26" s="125">
        <f t="shared" si="11"/>
        <v>0</v>
      </c>
      <c r="M26" s="24"/>
    </row>
    <row r="27" spans="1:13" s="26" customFormat="1" ht="81">
      <c r="A27" s="193" t="s">
        <v>238</v>
      </c>
      <c r="B27" s="53" t="s">
        <v>81</v>
      </c>
      <c r="C27" s="163">
        <v>24516.3</v>
      </c>
      <c r="D27" s="28">
        <v>24516.3</v>
      </c>
      <c r="E27" s="197">
        <v>4345.5</v>
      </c>
      <c r="F27" s="42">
        <v>6528</v>
      </c>
      <c r="G27" s="42">
        <v>4257.8999999999996</v>
      </c>
      <c r="H27" s="146">
        <f t="shared" si="2"/>
        <v>2.1000000000000001E-2</v>
      </c>
      <c r="I27" s="153">
        <f t="shared" si="5"/>
        <v>0.98</v>
      </c>
      <c r="J27" s="118">
        <f t="shared" si="6"/>
        <v>-20258.400000000001</v>
      </c>
      <c r="K27" s="117">
        <f t="shared" si="7"/>
        <v>0.17399999999999999</v>
      </c>
      <c r="L27" s="125">
        <f t="shared" si="11"/>
        <v>-2270.1</v>
      </c>
      <c r="M27" s="25"/>
    </row>
    <row r="28" spans="1:13" s="20" customFormat="1" ht="27">
      <c r="A28" s="58" t="s">
        <v>37</v>
      </c>
      <c r="B28" s="59" t="s">
        <v>2</v>
      </c>
      <c r="C28" s="164">
        <f>SUM(C29:C31)</f>
        <v>7925</v>
      </c>
      <c r="D28" s="164">
        <f t="shared" ref="D28:G28" si="26">SUM(D29:D31)</f>
        <v>7925</v>
      </c>
      <c r="E28" s="164">
        <f t="shared" si="26"/>
        <v>4912.5</v>
      </c>
      <c r="F28" s="164">
        <f t="shared" ref="F28" si="27">SUM(F29:F31)</f>
        <v>117974.3</v>
      </c>
      <c r="G28" s="164">
        <f t="shared" si="26"/>
        <v>4940.8999999999996</v>
      </c>
      <c r="H28" s="151">
        <f t="shared" si="2"/>
        <v>2.4E-2</v>
      </c>
      <c r="I28" s="153">
        <f t="shared" si="5"/>
        <v>1.006</v>
      </c>
      <c r="J28" s="98">
        <f t="shared" si="6"/>
        <v>-2984.1</v>
      </c>
      <c r="K28" s="97">
        <f t="shared" si="7"/>
        <v>0.623</v>
      </c>
      <c r="L28" s="125">
        <f t="shared" si="11"/>
        <v>-113033.4</v>
      </c>
      <c r="M28" s="24"/>
    </row>
    <row r="29" spans="1:13" s="20" customFormat="1" ht="87.75" customHeight="1">
      <c r="A29" s="15" t="s">
        <v>183</v>
      </c>
      <c r="B29" s="53" t="s">
        <v>120</v>
      </c>
      <c r="C29" s="163">
        <v>1700</v>
      </c>
      <c r="D29" s="28">
        <v>1700</v>
      </c>
      <c r="E29" s="197">
        <v>1700</v>
      </c>
      <c r="F29" s="42">
        <v>1722.9</v>
      </c>
      <c r="G29" s="42">
        <v>1721.4</v>
      </c>
      <c r="H29" s="146">
        <f t="shared" si="2"/>
        <v>8.0000000000000002E-3</v>
      </c>
      <c r="I29" s="153">
        <f t="shared" si="5"/>
        <v>1.0129999999999999</v>
      </c>
      <c r="J29" s="118">
        <f t="shared" si="6"/>
        <v>21.4</v>
      </c>
      <c r="K29" s="117">
        <f t="shared" si="7"/>
        <v>1.0129999999999999</v>
      </c>
      <c r="L29" s="125">
        <f t="shared" si="11"/>
        <v>-1.5</v>
      </c>
      <c r="M29" s="24"/>
    </row>
    <row r="30" spans="1:13" s="20" customFormat="1" ht="54">
      <c r="A30" s="15" t="s">
        <v>186</v>
      </c>
      <c r="B30" s="53" t="s">
        <v>42</v>
      </c>
      <c r="C30" s="163">
        <v>6225</v>
      </c>
      <c r="D30" s="28">
        <v>6225</v>
      </c>
      <c r="E30" s="197">
        <v>3212.5</v>
      </c>
      <c r="F30" s="42">
        <v>3841.4</v>
      </c>
      <c r="G30" s="42">
        <v>3219.5</v>
      </c>
      <c r="H30" s="146">
        <f t="shared" si="2"/>
        <v>1.6E-2</v>
      </c>
      <c r="I30" s="153">
        <f t="shared" si="5"/>
        <v>1.002</v>
      </c>
      <c r="J30" s="118">
        <f t="shared" si="6"/>
        <v>-3005.5</v>
      </c>
      <c r="K30" s="117">
        <f t="shared" si="7"/>
        <v>0.51700000000000002</v>
      </c>
      <c r="L30" s="125">
        <f t="shared" si="11"/>
        <v>-621.9</v>
      </c>
      <c r="M30" s="24"/>
    </row>
    <row r="31" spans="1:13" s="20" customFormat="1" ht="54">
      <c r="A31" s="15" t="s">
        <v>185</v>
      </c>
      <c r="B31" s="53" t="s">
        <v>151</v>
      </c>
      <c r="C31" s="163">
        <v>0</v>
      </c>
      <c r="D31" s="28">
        <v>0</v>
      </c>
      <c r="E31" s="197">
        <v>0</v>
      </c>
      <c r="F31" s="42">
        <v>112410</v>
      </c>
      <c r="G31" s="42">
        <v>0</v>
      </c>
      <c r="H31" s="146">
        <f t="shared" ref="H31" si="28">G31/Всего_доходов_2003</f>
        <v>0</v>
      </c>
      <c r="I31" s="153" t="str">
        <f t="shared" ref="I31" si="29">IF(E31=0,"0,0%",G31/E31)</f>
        <v>0,0%</v>
      </c>
      <c r="J31" s="118">
        <f t="shared" ref="J31" si="30">G31-D31</f>
        <v>0</v>
      </c>
      <c r="K31" s="117" t="str">
        <f>IF(G31=0,"0,0%", G31/D31)</f>
        <v>0,0%</v>
      </c>
      <c r="L31" s="125">
        <f t="shared" si="11"/>
        <v>-112410</v>
      </c>
      <c r="M31" s="24"/>
    </row>
    <row r="32" spans="1:13" s="20" customFormat="1">
      <c r="A32" s="55" t="s">
        <v>149</v>
      </c>
      <c r="B32" s="56" t="s">
        <v>150</v>
      </c>
      <c r="C32" s="165">
        <f>SUM(C33:C34)</f>
        <v>0</v>
      </c>
      <c r="D32" s="165">
        <f t="shared" ref="D32:G32" si="31">SUM(D33:D34)</f>
        <v>0</v>
      </c>
      <c r="E32" s="165">
        <f t="shared" si="31"/>
        <v>0</v>
      </c>
      <c r="F32" s="165">
        <f t="shared" ref="F32" si="32">SUM(F33:F34)</f>
        <v>19.3</v>
      </c>
      <c r="G32" s="165">
        <f t="shared" si="31"/>
        <v>230.1</v>
      </c>
      <c r="H32" s="151">
        <f t="shared" si="2"/>
        <v>1E-3</v>
      </c>
      <c r="I32" s="153" t="str">
        <f t="shared" si="5"/>
        <v>0,0%</v>
      </c>
      <c r="J32" s="98">
        <f t="shared" ref="J32:J33" si="33">G32-D32</f>
        <v>230.1</v>
      </c>
      <c r="K32" s="117" t="str">
        <f>IF(D32=0,"0,0%", G32/D32)</f>
        <v>0,0%</v>
      </c>
      <c r="L32" s="125">
        <f t="shared" si="11"/>
        <v>210.8</v>
      </c>
      <c r="M32" s="24"/>
    </row>
    <row r="33" spans="1:13" s="20" customFormat="1" ht="54">
      <c r="A33" s="15" t="s">
        <v>172</v>
      </c>
      <c r="B33" s="53" t="s">
        <v>173</v>
      </c>
      <c r="C33" s="163">
        <v>0</v>
      </c>
      <c r="D33" s="28">
        <v>0</v>
      </c>
      <c r="E33" s="197">
        <v>0</v>
      </c>
      <c r="F33" s="197">
        <v>0</v>
      </c>
      <c r="G33" s="42">
        <v>44.2</v>
      </c>
      <c r="H33" s="146">
        <f t="shared" si="2"/>
        <v>0</v>
      </c>
      <c r="I33" s="153" t="str">
        <f t="shared" si="5"/>
        <v>0,0%</v>
      </c>
      <c r="J33" s="118">
        <f t="shared" si="33"/>
        <v>44.2</v>
      </c>
      <c r="K33" s="117" t="str">
        <f>IF(D33=0,"0,0%", G33/D33)</f>
        <v>0,0%</v>
      </c>
      <c r="L33" s="125">
        <f t="shared" si="11"/>
        <v>44.2</v>
      </c>
      <c r="M33" s="24"/>
    </row>
    <row r="34" spans="1:13" s="20" customFormat="1" ht="54">
      <c r="A34" s="15" t="s">
        <v>214</v>
      </c>
      <c r="B34" s="53" t="s">
        <v>173</v>
      </c>
      <c r="C34" s="163">
        <v>0</v>
      </c>
      <c r="D34" s="28">
        <v>0</v>
      </c>
      <c r="E34" s="197">
        <v>0</v>
      </c>
      <c r="F34" s="197">
        <v>19.3</v>
      </c>
      <c r="G34" s="42">
        <v>185.9</v>
      </c>
      <c r="H34" s="146">
        <f t="shared" ref="H34" si="34">G34/Всего_доходов_2003</f>
        <v>1E-3</v>
      </c>
      <c r="I34" s="153" t="str">
        <f t="shared" ref="I34" si="35">IF(E34=0,"0,0%",G34/E34)</f>
        <v>0,0%</v>
      </c>
      <c r="J34" s="118">
        <f t="shared" ref="J34" si="36">G34-D34</f>
        <v>185.9</v>
      </c>
      <c r="K34" s="117" t="str">
        <f>IF(D34=0,"0,0%", G34/D34)</f>
        <v>0,0%</v>
      </c>
      <c r="L34" s="125">
        <f t="shared" si="11"/>
        <v>166.6</v>
      </c>
      <c r="M34" s="24"/>
    </row>
    <row r="35" spans="1:13" s="20" customFormat="1">
      <c r="A35" s="55" t="s">
        <v>3</v>
      </c>
      <c r="B35" s="56" t="s">
        <v>5</v>
      </c>
      <c r="C35" s="165">
        <f>SUM(C36:C37)</f>
        <v>235.5</v>
      </c>
      <c r="D35" s="165">
        <f t="shared" ref="D35:G35" si="37">SUM(D36:D37)</f>
        <v>235.5</v>
      </c>
      <c r="E35" s="165">
        <f t="shared" si="37"/>
        <v>0</v>
      </c>
      <c r="F35" s="165">
        <f t="shared" ref="F35" si="38">SUM(F36:F37)</f>
        <v>10000</v>
      </c>
      <c r="G35" s="165">
        <f t="shared" si="37"/>
        <v>0</v>
      </c>
      <c r="H35" s="155">
        <f t="shared" ref="H35:H36" si="39">G35-E35</f>
        <v>0</v>
      </c>
      <c r="I35" s="153" t="str">
        <f t="shared" si="5"/>
        <v>0,0%</v>
      </c>
      <c r="J35" s="98">
        <f t="shared" si="6"/>
        <v>-235.5</v>
      </c>
      <c r="K35" s="117">
        <v>0</v>
      </c>
      <c r="L35" s="125">
        <f t="shared" si="11"/>
        <v>-10000</v>
      </c>
      <c r="M35" s="24"/>
    </row>
    <row r="36" spans="1:13" s="20" customFormat="1" ht="27">
      <c r="A36" s="15" t="s">
        <v>174</v>
      </c>
      <c r="B36" s="53" t="s">
        <v>49</v>
      </c>
      <c r="C36" s="163">
        <v>0</v>
      </c>
      <c r="D36" s="28">
        <v>0</v>
      </c>
      <c r="E36" s="197">
        <v>0</v>
      </c>
      <c r="F36" s="42">
        <v>10000</v>
      </c>
      <c r="G36" s="42">
        <v>0</v>
      </c>
      <c r="H36" s="154">
        <f t="shared" si="39"/>
        <v>0</v>
      </c>
      <c r="I36" s="153" t="str">
        <f t="shared" si="5"/>
        <v>0,0%</v>
      </c>
      <c r="J36" s="118">
        <f t="shared" si="6"/>
        <v>0</v>
      </c>
      <c r="K36" s="117">
        <v>0</v>
      </c>
      <c r="L36" s="125">
        <f t="shared" si="11"/>
        <v>-10000</v>
      </c>
      <c r="M36" s="24"/>
    </row>
    <row r="37" spans="1:13" s="20" customFormat="1" ht="27">
      <c r="A37" s="15" t="s">
        <v>179</v>
      </c>
      <c r="B37" s="53" t="s">
        <v>184</v>
      </c>
      <c r="C37" s="163">
        <v>235.5</v>
      </c>
      <c r="D37" s="28">
        <v>235.5</v>
      </c>
      <c r="E37" s="197">
        <v>0</v>
      </c>
      <c r="F37" s="42">
        <v>0</v>
      </c>
      <c r="G37" s="42">
        <v>0</v>
      </c>
      <c r="H37" s="154">
        <f t="shared" ref="H37" si="40">G37-E37</f>
        <v>0</v>
      </c>
      <c r="I37" s="153" t="str">
        <f t="shared" ref="I37" si="41">IF(E37=0,"0,0%",G37/E37)</f>
        <v>0,0%</v>
      </c>
      <c r="J37" s="118">
        <f t="shared" ref="J37" si="42">G37-D37</f>
        <v>-235.5</v>
      </c>
      <c r="K37" s="117">
        <v>0</v>
      </c>
      <c r="L37" s="125">
        <f t="shared" ref="L37" si="43">G37-F37</f>
        <v>0</v>
      </c>
      <c r="M37" s="24"/>
    </row>
    <row r="38" spans="1:13" s="20" customFormat="1">
      <c r="A38" s="55" t="s">
        <v>39</v>
      </c>
      <c r="B38" s="60" t="s">
        <v>4</v>
      </c>
      <c r="C38" s="165">
        <f>SUM(C39,C41,C46,C44)</f>
        <v>10595.9</v>
      </c>
      <c r="D38" s="165">
        <f t="shared" ref="D38:G38" si="44">SUM(D39,D41,D46,D44)</f>
        <v>130595.9</v>
      </c>
      <c r="E38" s="165">
        <f t="shared" si="44"/>
        <v>5032.8</v>
      </c>
      <c r="F38" s="165">
        <f t="shared" ref="F38" si="45">SUM(F39,F41,F46,F44)</f>
        <v>4844.8</v>
      </c>
      <c r="G38" s="165">
        <f t="shared" si="44"/>
        <v>5032.8</v>
      </c>
      <c r="H38" s="151">
        <f t="shared" ref="H38:H47" si="46">G38/Всего_доходов_2003</f>
        <v>2.5000000000000001E-2</v>
      </c>
      <c r="I38" s="153">
        <f t="shared" si="5"/>
        <v>1</v>
      </c>
      <c r="J38" s="98">
        <f t="shared" si="6"/>
        <v>-125563.1</v>
      </c>
      <c r="K38" s="97">
        <f t="shared" si="7"/>
        <v>3.9E-2</v>
      </c>
      <c r="L38" s="125">
        <f t="shared" si="11"/>
        <v>188</v>
      </c>
      <c r="M38" s="24"/>
    </row>
    <row r="39" spans="1:13" s="20" customFormat="1" ht="27">
      <c r="A39" s="61" t="s">
        <v>40</v>
      </c>
      <c r="B39" s="62" t="s">
        <v>215</v>
      </c>
      <c r="C39" s="165">
        <f>C40</f>
        <v>10595.9</v>
      </c>
      <c r="D39" s="165">
        <f t="shared" ref="D39:G39" si="47">D40</f>
        <v>10595.9</v>
      </c>
      <c r="E39" s="165">
        <f t="shared" si="47"/>
        <v>5032.8</v>
      </c>
      <c r="F39" s="165">
        <f t="shared" si="47"/>
        <v>4844.8</v>
      </c>
      <c r="G39" s="165">
        <f t="shared" si="47"/>
        <v>5032.8</v>
      </c>
      <c r="H39" s="151">
        <f t="shared" si="46"/>
        <v>2.5000000000000001E-2</v>
      </c>
      <c r="I39" s="153">
        <f t="shared" si="5"/>
        <v>1</v>
      </c>
      <c r="J39" s="98">
        <f t="shared" si="6"/>
        <v>-5563.1</v>
      </c>
      <c r="K39" s="97">
        <f t="shared" si="7"/>
        <v>0.47499999999999998</v>
      </c>
      <c r="L39" s="125">
        <f t="shared" si="11"/>
        <v>188</v>
      </c>
      <c r="M39" s="24"/>
    </row>
    <row r="40" spans="1:13" s="20" customFormat="1" ht="27">
      <c r="A40" s="63" t="s">
        <v>217</v>
      </c>
      <c r="B40" s="64" t="s">
        <v>216</v>
      </c>
      <c r="C40" s="163">
        <v>10595.9</v>
      </c>
      <c r="D40" s="42">
        <v>10595.9</v>
      </c>
      <c r="E40" s="197">
        <v>5032.8</v>
      </c>
      <c r="F40" s="197">
        <v>4844.8</v>
      </c>
      <c r="G40" s="42">
        <v>5032.8</v>
      </c>
      <c r="H40" s="146">
        <f t="shared" si="46"/>
        <v>2.5000000000000001E-2</v>
      </c>
      <c r="I40" s="153">
        <f t="shared" si="5"/>
        <v>1</v>
      </c>
      <c r="J40" s="118">
        <f t="shared" si="6"/>
        <v>-5563.1</v>
      </c>
      <c r="K40" s="117">
        <f t="shared" si="7"/>
        <v>0.47499999999999998</v>
      </c>
      <c r="L40" s="125">
        <f t="shared" si="11"/>
        <v>188</v>
      </c>
      <c r="M40" s="24"/>
    </row>
    <row r="41" spans="1:13" s="20" customFormat="1" ht="40.5" hidden="1" customHeight="1">
      <c r="A41" s="65" t="s">
        <v>121</v>
      </c>
      <c r="B41" s="60" t="s">
        <v>122</v>
      </c>
      <c r="C41" s="165">
        <f>C42+C43</f>
        <v>0</v>
      </c>
      <c r="D41" s="69">
        <f>D42+D43</f>
        <v>0</v>
      </c>
      <c r="E41" s="198">
        <f>E42+E43</f>
        <v>0</v>
      </c>
      <c r="F41" s="69">
        <f>F42+F43</f>
        <v>0</v>
      </c>
      <c r="G41" s="69">
        <f>G42+G43</f>
        <v>0</v>
      </c>
      <c r="H41" s="151">
        <f t="shared" si="46"/>
        <v>0</v>
      </c>
      <c r="I41" s="153" t="str">
        <f t="shared" si="5"/>
        <v>0,0%</v>
      </c>
      <c r="J41" s="97">
        <f t="shared" ref="J41:J47" si="48">G41/Всего_доходов_2003</f>
        <v>0</v>
      </c>
      <c r="K41" s="98">
        <f>G41-D41</f>
        <v>0</v>
      </c>
      <c r="L41" s="125">
        <f t="shared" si="11"/>
        <v>0</v>
      </c>
      <c r="M41" s="24"/>
    </row>
    <row r="42" spans="1:13" s="26" customFormat="1" ht="67.5" hidden="1" customHeight="1">
      <c r="A42" s="140" t="s">
        <v>138</v>
      </c>
      <c r="B42" s="139" t="s">
        <v>136</v>
      </c>
      <c r="C42" s="163">
        <v>0</v>
      </c>
      <c r="D42" s="42">
        <v>0</v>
      </c>
      <c r="E42" s="197">
        <v>0</v>
      </c>
      <c r="F42" s="42">
        <v>0</v>
      </c>
      <c r="G42" s="42">
        <v>0</v>
      </c>
      <c r="H42" s="146">
        <f t="shared" si="46"/>
        <v>0</v>
      </c>
      <c r="I42" s="153" t="str">
        <f t="shared" si="5"/>
        <v>0,0%</v>
      </c>
      <c r="J42" s="118">
        <f>G42-D42</f>
        <v>0</v>
      </c>
      <c r="K42" s="117">
        <v>0</v>
      </c>
      <c r="L42" s="125">
        <f t="shared" si="11"/>
        <v>0</v>
      </c>
    </row>
    <row r="43" spans="1:13" s="26" customFormat="1" ht="54" hidden="1" customHeight="1">
      <c r="A43" s="140" t="s">
        <v>139</v>
      </c>
      <c r="B43" s="139" t="s">
        <v>137</v>
      </c>
      <c r="C43" s="163">
        <v>0</v>
      </c>
      <c r="D43" s="42">
        <v>0</v>
      </c>
      <c r="E43" s="197">
        <v>0</v>
      </c>
      <c r="F43" s="42">
        <v>0</v>
      </c>
      <c r="G43" s="42">
        <v>0</v>
      </c>
      <c r="H43" s="146">
        <f t="shared" si="46"/>
        <v>0</v>
      </c>
      <c r="I43" s="153" t="str">
        <f t="shared" si="5"/>
        <v>0,0%</v>
      </c>
      <c r="J43" s="118">
        <f>G43-D43</f>
        <v>0</v>
      </c>
      <c r="K43" s="117">
        <v>0</v>
      </c>
      <c r="L43" s="125">
        <f t="shared" si="11"/>
        <v>0</v>
      </c>
    </row>
    <row r="44" spans="1:13" s="26" customFormat="1" ht="13.5" customHeight="1">
      <c r="A44" s="186" t="s">
        <v>155</v>
      </c>
      <c r="B44" s="187" t="s">
        <v>241</v>
      </c>
      <c r="C44" s="166">
        <f>C45</f>
        <v>0</v>
      </c>
      <c r="D44" s="80">
        <f>D45</f>
        <v>120000</v>
      </c>
      <c r="E44" s="199">
        <f>E45</f>
        <v>0</v>
      </c>
      <c r="F44" s="80">
        <f>F45</f>
        <v>0</v>
      </c>
      <c r="G44" s="80">
        <f>G45</f>
        <v>0</v>
      </c>
      <c r="H44" s="151">
        <f t="shared" ref="H44:H45" si="49">G44/Всего_доходов_2003</f>
        <v>0</v>
      </c>
      <c r="I44" s="153" t="str">
        <f t="shared" ref="I44:I45" si="50">IF(E44=0,"0,0%",G44/E44)</f>
        <v>0,0%</v>
      </c>
      <c r="J44" s="97">
        <f t="shared" ref="J44:J45" si="51">G44/Всего_доходов_2003</f>
        <v>0</v>
      </c>
      <c r="K44" s="98">
        <f>G44-D44</f>
        <v>-120000</v>
      </c>
      <c r="L44" s="125">
        <f t="shared" si="11"/>
        <v>0</v>
      </c>
    </row>
    <row r="45" spans="1:13" s="26" customFormat="1" ht="32.25" customHeight="1">
      <c r="A45" s="140" t="s">
        <v>239</v>
      </c>
      <c r="B45" s="228" t="s">
        <v>240</v>
      </c>
      <c r="C45" s="163">
        <v>0</v>
      </c>
      <c r="D45" s="42">
        <v>120000</v>
      </c>
      <c r="E45" s="197">
        <v>0</v>
      </c>
      <c r="F45" s="42">
        <v>0</v>
      </c>
      <c r="G45" s="42">
        <v>0</v>
      </c>
      <c r="H45" s="146">
        <f t="shared" si="49"/>
        <v>0</v>
      </c>
      <c r="I45" s="153" t="str">
        <f t="shared" si="50"/>
        <v>0,0%</v>
      </c>
      <c r="J45" s="117">
        <f t="shared" si="51"/>
        <v>0</v>
      </c>
      <c r="K45" s="118">
        <f>G45-D45</f>
        <v>-120000</v>
      </c>
      <c r="L45" s="125">
        <f t="shared" si="11"/>
        <v>0</v>
      </c>
    </row>
    <row r="46" spans="1:13" s="20" customFormat="1" ht="40.5" hidden="1">
      <c r="A46" s="65" t="s">
        <v>123</v>
      </c>
      <c r="B46" s="60" t="s">
        <v>124</v>
      </c>
      <c r="C46" s="166">
        <f>C47</f>
        <v>0</v>
      </c>
      <c r="D46" s="80">
        <f>D47</f>
        <v>0</v>
      </c>
      <c r="E46" s="199">
        <f>E47</f>
        <v>0</v>
      </c>
      <c r="F46" s="80">
        <f>F47</f>
        <v>0</v>
      </c>
      <c r="G46" s="80">
        <f>G47</f>
        <v>0</v>
      </c>
      <c r="H46" s="151">
        <f t="shared" si="46"/>
        <v>0</v>
      </c>
      <c r="I46" s="153" t="str">
        <f t="shared" si="5"/>
        <v>0,0%</v>
      </c>
      <c r="J46" s="97">
        <f t="shared" si="48"/>
        <v>0</v>
      </c>
      <c r="K46" s="98">
        <f>G46-D46</f>
        <v>0</v>
      </c>
      <c r="L46" s="125">
        <f t="shared" si="11"/>
        <v>0</v>
      </c>
      <c r="M46" s="24"/>
    </row>
    <row r="47" spans="1:13" s="20" customFormat="1" ht="40.5" hidden="1">
      <c r="A47" s="63" t="s">
        <v>125</v>
      </c>
      <c r="B47" s="64" t="s">
        <v>67</v>
      </c>
      <c r="C47" s="163">
        <v>0</v>
      </c>
      <c r="D47" s="42">
        <v>0</v>
      </c>
      <c r="E47" s="197">
        <v>0</v>
      </c>
      <c r="F47" s="42">
        <v>0</v>
      </c>
      <c r="G47" s="42">
        <v>0</v>
      </c>
      <c r="H47" s="146">
        <f t="shared" si="46"/>
        <v>0</v>
      </c>
      <c r="I47" s="153" t="str">
        <f t="shared" si="5"/>
        <v>0,0%</v>
      </c>
      <c r="J47" s="117">
        <f t="shared" si="48"/>
        <v>0</v>
      </c>
      <c r="K47" s="118">
        <f>G47-D47</f>
        <v>0</v>
      </c>
      <c r="L47" s="125">
        <f t="shared" si="11"/>
        <v>0</v>
      </c>
      <c r="M47" s="24"/>
    </row>
    <row r="48" spans="1:13" s="27" customFormat="1">
      <c r="A48" s="147"/>
      <c r="B48" s="148" t="s">
        <v>6</v>
      </c>
      <c r="C48" s="149">
        <f>C6+C38</f>
        <v>620999.9</v>
      </c>
      <c r="D48" s="149">
        <f>D6+D38</f>
        <v>765274.8</v>
      </c>
      <c r="E48" s="200">
        <f>E6+E38</f>
        <v>212645</v>
      </c>
      <c r="F48" s="149">
        <f>F6+F38</f>
        <v>350363.6</v>
      </c>
      <c r="G48" s="149">
        <f>G6+G38</f>
        <v>203450.5</v>
      </c>
      <c r="H48" s="97">
        <f t="shared" ref="H48" si="52">G48/Всего_доходов_2003</f>
        <v>1</v>
      </c>
      <c r="I48" s="153">
        <f t="shared" si="5"/>
        <v>0.95699999999999996</v>
      </c>
      <c r="J48" s="98">
        <f t="shared" ref="J48" si="53">G48-D48</f>
        <v>-561824.30000000005</v>
      </c>
      <c r="K48" s="97">
        <f>G48/D48</f>
        <v>0.26600000000000001</v>
      </c>
      <c r="L48" s="125">
        <f t="shared" si="11"/>
        <v>-146913.1</v>
      </c>
    </row>
    <row r="49" spans="1:12" s="13" customFormat="1">
      <c r="A49" s="49"/>
      <c r="B49" s="4"/>
      <c r="C49" s="4"/>
      <c r="D49" s="29"/>
      <c r="E49" s="5"/>
      <c r="F49" s="5"/>
      <c r="G49" s="5"/>
      <c r="H49" s="66"/>
      <c r="I49" s="66"/>
      <c r="J49" s="67"/>
      <c r="K49" s="68"/>
      <c r="L49" s="5"/>
    </row>
    <row r="50" spans="1:12" ht="16.5">
      <c r="A50" s="17" t="s">
        <v>10</v>
      </c>
      <c r="B50" s="167" t="s">
        <v>7</v>
      </c>
      <c r="C50" s="4"/>
      <c r="D50" s="29"/>
      <c r="E50" s="7"/>
      <c r="F50" s="7"/>
      <c r="G50" s="7"/>
      <c r="H50" s="81"/>
      <c r="I50" s="81"/>
      <c r="J50" s="82"/>
      <c r="K50" s="81"/>
      <c r="L50" s="7"/>
    </row>
    <row r="51" spans="1:12" s="27" customFormat="1">
      <c r="A51" s="94" t="s">
        <v>21</v>
      </c>
      <c r="B51" s="95" t="s">
        <v>25</v>
      </c>
      <c r="C51" s="96">
        <f>C52+C53+C54+C57+C60+C61+C62</f>
        <v>19923.599999999999</v>
      </c>
      <c r="D51" s="96">
        <f>D52+D53+D54+D57+D60+D61+D62</f>
        <v>21214.6</v>
      </c>
      <c r="E51" s="96">
        <f>E52+E53+E54+E57+E60+E61+E62</f>
        <v>6852.7</v>
      </c>
      <c r="F51" s="96">
        <f>F52+F53+F54+F57+F60+F61+F62</f>
        <v>7053.6</v>
      </c>
      <c r="G51" s="96">
        <f>G52+G53+G54+G57+G60+G61+G62</f>
        <v>6852.6</v>
      </c>
      <c r="H51" s="97">
        <f>G51/G204</f>
        <v>3.4000000000000002E-2</v>
      </c>
      <c r="I51" s="153">
        <f>IF(E51=0,"0,0%",G51/E51)</f>
        <v>1</v>
      </c>
      <c r="J51" s="98">
        <f>G51-D51</f>
        <v>-14362</v>
      </c>
      <c r="K51" s="97">
        <f>G51/D51</f>
        <v>0.32300000000000001</v>
      </c>
      <c r="L51" s="99">
        <f>G51-F51</f>
        <v>-201</v>
      </c>
    </row>
    <row r="52" spans="1:12" ht="40.5">
      <c r="A52" s="16" t="s">
        <v>46</v>
      </c>
      <c r="B52" s="10" t="s">
        <v>54</v>
      </c>
      <c r="C52" s="129">
        <v>1747.4</v>
      </c>
      <c r="D52" s="30">
        <v>1747.4</v>
      </c>
      <c r="E52" s="7">
        <v>870.6</v>
      </c>
      <c r="F52" s="7">
        <v>948.6</v>
      </c>
      <c r="G52" s="7">
        <v>870.6</v>
      </c>
      <c r="H52" s="108">
        <f>G52/$G$204</f>
        <v>4.0000000000000001E-3</v>
      </c>
      <c r="I52" s="153">
        <f>IF(E52=0,"0,0%",G52/E52)</f>
        <v>1</v>
      </c>
      <c r="J52" s="109">
        <f t="shared" ref="J52:J167" si="54">G52-D52</f>
        <v>-876.8</v>
      </c>
      <c r="K52" s="108">
        <f t="shared" ref="K52:K155" si="55">G52/D52</f>
        <v>0.498</v>
      </c>
      <c r="L52" s="138">
        <f>G52-F52</f>
        <v>-78</v>
      </c>
    </row>
    <row r="53" spans="1:12" ht="40.5">
      <c r="A53" s="16" t="s">
        <v>47</v>
      </c>
      <c r="B53" s="10" t="s">
        <v>126</v>
      </c>
      <c r="C53" s="129">
        <v>11269</v>
      </c>
      <c r="D53" s="30">
        <v>11463.8</v>
      </c>
      <c r="E53" s="7">
        <v>3797.6</v>
      </c>
      <c r="F53" s="7">
        <v>4271.3</v>
      </c>
      <c r="G53" s="7">
        <v>3797.5</v>
      </c>
      <c r="H53" s="108">
        <f>G53/$G$204</f>
        <v>1.9E-2</v>
      </c>
      <c r="I53" s="153">
        <f>IF(E53=0,"0,0%",G53/E53)</f>
        <v>1</v>
      </c>
      <c r="J53" s="109">
        <f>G53-D53</f>
        <v>-7666.3</v>
      </c>
      <c r="K53" s="108">
        <f t="shared" si="55"/>
        <v>0.33100000000000002</v>
      </c>
      <c r="L53" s="138">
        <f>G53-F53</f>
        <v>-473.8</v>
      </c>
    </row>
    <row r="54" spans="1:12" ht="54">
      <c r="A54" s="16" t="s">
        <v>156</v>
      </c>
      <c r="B54" s="10" t="s">
        <v>127</v>
      </c>
      <c r="C54" s="129">
        <v>3466.4</v>
      </c>
      <c r="D54" s="30">
        <v>3466.4</v>
      </c>
      <c r="E54" s="7">
        <v>1439.6</v>
      </c>
      <c r="F54" s="7">
        <v>1485.2</v>
      </c>
      <c r="G54" s="7">
        <v>1439.6</v>
      </c>
      <c r="H54" s="108">
        <f>G54/$G$204</f>
        <v>7.0000000000000001E-3</v>
      </c>
      <c r="I54" s="153">
        <f>IF(E54=0,"0,0%",G54/E54)</f>
        <v>1</v>
      </c>
      <c r="J54" s="109">
        <f t="shared" si="54"/>
        <v>-2026.8</v>
      </c>
      <c r="K54" s="108">
        <f t="shared" si="55"/>
        <v>0.41499999999999998</v>
      </c>
      <c r="L54" s="138">
        <f>G54-F54</f>
        <v>-45.6</v>
      </c>
    </row>
    <row r="55" spans="1:12">
      <c r="A55" s="16"/>
      <c r="B55" s="10" t="s">
        <v>27</v>
      </c>
      <c r="C55" s="129"/>
      <c r="D55" s="30"/>
      <c r="E55" s="7"/>
      <c r="F55" s="7"/>
      <c r="G55" s="7"/>
      <c r="H55" s="108"/>
      <c r="I55" s="108"/>
      <c r="J55" s="109"/>
      <c r="K55" s="108"/>
      <c r="L55" s="107"/>
    </row>
    <row r="56" spans="1:12" s="48" customFormat="1" ht="40.5">
      <c r="A56" s="16"/>
      <c r="B56" s="39" t="s">
        <v>157</v>
      </c>
      <c r="C56" s="169">
        <v>3466.4</v>
      </c>
      <c r="D56" s="40">
        <v>3466.4</v>
      </c>
      <c r="E56" s="40">
        <v>1439.6</v>
      </c>
      <c r="F56" s="40">
        <v>1485.2</v>
      </c>
      <c r="G56" s="40">
        <v>1439.6</v>
      </c>
      <c r="H56" s="117">
        <f>G56/$G$204</f>
        <v>7.0000000000000001E-3</v>
      </c>
      <c r="I56" s="153">
        <f>IF(E56=0,"0,0%",G56/E56)</f>
        <v>1</v>
      </c>
      <c r="J56" s="118">
        <f>G56-D56</f>
        <v>-2026.8</v>
      </c>
      <c r="K56" s="117">
        <f>G56/D56</f>
        <v>0.41499999999999998</v>
      </c>
      <c r="L56" s="123">
        <f>G56-F56</f>
        <v>-45.6</v>
      </c>
    </row>
    <row r="57" spans="1:12" ht="40.5" hidden="1">
      <c r="A57" s="16" t="s">
        <v>56</v>
      </c>
      <c r="B57" s="10" t="s">
        <v>128</v>
      </c>
      <c r="C57" s="129">
        <v>0</v>
      </c>
      <c r="D57" s="30">
        <v>0</v>
      </c>
      <c r="E57" s="7">
        <v>0</v>
      </c>
      <c r="F57" s="7">
        <v>0</v>
      </c>
      <c r="G57" s="7">
        <v>0</v>
      </c>
      <c r="H57" s="108">
        <f>G57/$G$204</f>
        <v>0</v>
      </c>
      <c r="I57" s="153" t="str">
        <f>IF(E57=0,"0,0%",G57/E57)</f>
        <v>0,0%</v>
      </c>
      <c r="J57" s="109">
        <f t="shared" si="54"/>
        <v>0</v>
      </c>
      <c r="K57" s="108" t="e">
        <f t="shared" si="55"/>
        <v>#DIV/0!</v>
      </c>
      <c r="L57" s="107">
        <f t="shared" ref="L57:L167" si="56">G57-F57</f>
        <v>0</v>
      </c>
    </row>
    <row r="58" spans="1:12" ht="13.5" hidden="1" customHeight="1">
      <c r="A58" s="16"/>
      <c r="B58" s="10" t="s">
        <v>27</v>
      </c>
      <c r="C58" s="129"/>
      <c r="D58" s="30"/>
      <c r="E58" s="7"/>
      <c r="F58" s="7"/>
      <c r="G58" s="7"/>
      <c r="H58" s="108"/>
      <c r="I58" s="108"/>
      <c r="J58" s="109"/>
      <c r="K58" s="108"/>
      <c r="L58" s="107"/>
    </row>
    <row r="59" spans="1:12" s="48" customFormat="1" ht="54" hidden="1" customHeight="1">
      <c r="A59" s="16"/>
      <c r="B59" s="39" t="s">
        <v>152</v>
      </c>
      <c r="C59" s="169">
        <v>0</v>
      </c>
      <c r="D59" s="40">
        <v>0</v>
      </c>
      <c r="E59" s="40">
        <v>0</v>
      </c>
      <c r="F59" s="40">
        <v>0</v>
      </c>
      <c r="G59" s="40">
        <v>0</v>
      </c>
      <c r="H59" s="117">
        <f>G59/$G$204</f>
        <v>0</v>
      </c>
      <c r="I59" s="153" t="str">
        <f>IF(E59=0,"0,0%",G59/E59)</f>
        <v>0,0%</v>
      </c>
      <c r="J59" s="118">
        <f>G59-D59</f>
        <v>0</v>
      </c>
      <c r="K59" s="117">
        <v>0</v>
      </c>
      <c r="L59" s="123">
        <f>G59-F59</f>
        <v>0</v>
      </c>
    </row>
    <row r="60" spans="1:12" ht="13.5" customHeight="1">
      <c r="A60" s="16" t="s">
        <v>132</v>
      </c>
      <c r="B60" s="10" t="s">
        <v>133</v>
      </c>
      <c r="C60" s="129">
        <v>0</v>
      </c>
      <c r="D60" s="30">
        <v>997</v>
      </c>
      <c r="E60" s="7">
        <v>0</v>
      </c>
      <c r="F60" s="7">
        <v>0</v>
      </c>
      <c r="G60" s="7">
        <v>0</v>
      </c>
      <c r="H60" s="108">
        <f>G60/$G$204</f>
        <v>0</v>
      </c>
      <c r="I60" s="153" t="str">
        <f>IF(E60=0,"0,0%",G60/E60)</f>
        <v>0,0%</v>
      </c>
      <c r="J60" s="109">
        <f t="shared" si="54"/>
        <v>-997</v>
      </c>
      <c r="K60" s="108">
        <v>0</v>
      </c>
      <c r="L60" s="107">
        <f t="shared" si="56"/>
        <v>0</v>
      </c>
    </row>
    <row r="61" spans="1:12">
      <c r="A61" s="16" t="s">
        <v>74</v>
      </c>
      <c r="B61" s="10" t="s">
        <v>23</v>
      </c>
      <c r="C61" s="129">
        <v>1000</v>
      </c>
      <c r="D61" s="30">
        <v>1000</v>
      </c>
      <c r="E61" s="7">
        <v>0</v>
      </c>
      <c r="F61" s="7">
        <v>0</v>
      </c>
      <c r="G61" s="7">
        <v>0</v>
      </c>
      <c r="H61" s="108">
        <f>G61/$G$204</f>
        <v>0</v>
      </c>
      <c r="I61" s="153" t="str">
        <f>IF(E61=0,"0,0%",G61/E61)</f>
        <v>0,0%</v>
      </c>
      <c r="J61" s="109">
        <f t="shared" si="54"/>
        <v>-1000</v>
      </c>
      <c r="K61" s="108">
        <f t="shared" si="55"/>
        <v>0</v>
      </c>
      <c r="L61" s="107">
        <f t="shared" si="56"/>
        <v>0</v>
      </c>
    </row>
    <row r="62" spans="1:12" s="1" customFormat="1">
      <c r="A62" s="16" t="s">
        <v>78</v>
      </c>
      <c r="B62" s="10" t="s">
        <v>129</v>
      </c>
      <c r="C62" s="129">
        <v>2440.8000000000002</v>
      </c>
      <c r="D62" s="30">
        <v>2540</v>
      </c>
      <c r="E62" s="7">
        <v>744.9</v>
      </c>
      <c r="F62" s="7">
        <v>348.5</v>
      </c>
      <c r="G62" s="7">
        <v>744.9</v>
      </c>
      <c r="H62" s="108">
        <f>G62/$G$204</f>
        <v>4.0000000000000001E-3</v>
      </c>
      <c r="I62" s="153">
        <f>IF(E62=0,"0,0%",G62/E62)</f>
        <v>1</v>
      </c>
      <c r="J62" s="109">
        <f t="shared" si="54"/>
        <v>-1795.1</v>
      </c>
      <c r="K62" s="108">
        <f t="shared" si="55"/>
        <v>0.29299999999999998</v>
      </c>
      <c r="L62" s="107">
        <f t="shared" si="56"/>
        <v>396.4</v>
      </c>
    </row>
    <row r="63" spans="1:12" s="1" customFormat="1" ht="13.5" hidden="1" customHeight="1">
      <c r="A63" s="16"/>
      <c r="B63" s="8" t="s">
        <v>27</v>
      </c>
      <c r="C63" s="129"/>
      <c r="D63" s="30"/>
      <c r="E63" s="7"/>
      <c r="F63" s="7"/>
      <c r="G63" s="7"/>
      <c r="H63" s="108"/>
      <c r="I63" s="108"/>
      <c r="J63" s="109"/>
      <c r="K63" s="108"/>
      <c r="L63" s="107"/>
    </row>
    <row r="64" spans="1:12" s="1" customFormat="1" ht="40.5" hidden="1" customHeight="1">
      <c r="A64" s="16"/>
      <c r="B64" s="9" t="s">
        <v>104</v>
      </c>
      <c r="C64" s="129"/>
      <c r="D64" s="30"/>
      <c r="E64" s="7"/>
      <c r="F64" s="7"/>
      <c r="G64" s="7"/>
      <c r="H64" s="108">
        <f>G64/$G$204</f>
        <v>0</v>
      </c>
      <c r="I64" s="153" t="str">
        <f>IF(E64=0,"0,0%",G64/E64)</f>
        <v>0,0%</v>
      </c>
      <c r="J64" s="109">
        <f t="shared" si="54"/>
        <v>0</v>
      </c>
      <c r="K64" s="108" t="e">
        <f t="shared" si="55"/>
        <v>#DIV/0!</v>
      </c>
      <c r="L64" s="107">
        <f t="shared" si="56"/>
        <v>0</v>
      </c>
    </row>
    <row r="65" spans="1:12" s="1" customFormat="1" ht="13.5" hidden="1" customHeight="1">
      <c r="A65" s="16"/>
      <c r="B65" s="9" t="s">
        <v>105</v>
      </c>
      <c r="C65" s="129"/>
      <c r="D65" s="30"/>
      <c r="E65" s="7"/>
      <c r="F65" s="7"/>
      <c r="G65" s="7"/>
      <c r="H65" s="108">
        <f>G65/$G$204</f>
        <v>0</v>
      </c>
      <c r="I65" s="153" t="str">
        <f>IF(E65=0,"0,0%",G65/E65)</f>
        <v>0,0%</v>
      </c>
      <c r="J65" s="109">
        <f t="shared" si="54"/>
        <v>0</v>
      </c>
      <c r="K65" s="108" t="e">
        <f t="shared" si="55"/>
        <v>#DIV/0!</v>
      </c>
      <c r="L65" s="107">
        <f t="shared" si="56"/>
        <v>0</v>
      </c>
    </row>
    <row r="66" spans="1:12" s="1" customFormat="1">
      <c r="A66" s="134"/>
      <c r="B66" s="176" t="s">
        <v>140</v>
      </c>
      <c r="C66" s="141"/>
      <c r="D66" s="141"/>
      <c r="E66" s="136"/>
      <c r="F66" s="136"/>
      <c r="G66" s="136"/>
      <c r="H66" s="108"/>
      <c r="I66" s="108"/>
      <c r="J66" s="109"/>
      <c r="K66" s="108"/>
      <c r="L66" s="107"/>
    </row>
    <row r="67" spans="1:12">
      <c r="A67" s="126"/>
      <c r="B67" s="127" t="s">
        <v>106</v>
      </c>
      <c r="C67" s="136">
        <v>12264.3</v>
      </c>
      <c r="D67" s="136">
        <v>12264.3</v>
      </c>
      <c r="E67" s="136">
        <v>4477</v>
      </c>
      <c r="F67" s="136">
        <v>4780.1000000000004</v>
      </c>
      <c r="G67" s="136">
        <v>4477</v>
      </c>
      <c r="H67" s="108">
        <f>G67/$G$204</f>
        <v>2.1999999999999999E-2</v>
      </c>
      <c r="I67" s="153">
        <f>IF(E67=0,"0,0%",G67/E67)</f>
        <v>1</v>
      </c>
      <c r="J67" s="109">
        <f t="shared" ref="J67:J69" si="57">G67-D67</f>
        <v>-7787.3</v>
      </c>
      <c r="K67" s="108">
        <f t="shared" ref="K67:K69" si="58">G67/D67</f>
        <v>0.36499999999999999</v>
      </c>
      <c r="L67" s="107">
        <f>G67-F67</f>
        <v>-303.10000000000002</v>
      </c>
    </row>
    <row r="68" spans="1:12">
      <c r="A68" s="134"/>
      <c r="B68" s="127" t="s">
        <v>109</v>
      </c>
      <c r="C68" s="136">
        <v>0</v>
      </c>
      <c r="D68" s="136">
        <v>0</v>
      </c>
      <c r="E68" s="136">
        <v>0</v>
      </c>
      <c r="F68" s="136">
        <v>0</v>
      </c>
      <c r="G68" s="136">
        <v>0</v>
      </c>
      <c r="H68" s="108">
        <f>G68/$G$204</f>
        <v>0</v>
      </c>
      <c r="I68" s="153" t="str">
        <f>IF(E68=0,"0,0%",G68/E68)</f>
        <v>0,0%</v>
      </c>
      <c r="J68" s="109">
        <f t="shared" ref="J68" si="59">G68-D68</f>
        <v>0</v>
      </c>
      <c r="K68" s="108" t="str">
        <f>IF(G68=0,"0,0%", G68/D68)</f>
        <v>0,0%</v>
      </c>
      <c r="L68" s="107">
        <f t="shared" ref="L68" si="60">G68-F68</f>
        <v>0</v>
      </c>
    </row>
    <row r="69" spans="1:12">
      <c r="A69" s="126"/>
      <c r="B69" s="144" t="s">
        <v>164</v>
      </c>
      <c r="C69" s="141">
        <v>2193</v>
      </c>
      <c r="D69" s="141">
        <v>2193</v>
      </c>
      <c r="E69" s="141">
        <v>744.9</v>
      </c>
      <c r="F69" s="141">
        <v>118.6</v>
      </c>
      <c r="G69" s="141">
        <v>744.9</v>
      </c>
      <c r="H69" s="108">
        <f>G69/$G$204</f>
        <v>4.0000000000000001E-3</v>
      </c>
      <c r="I69" s="153">
        <f>IF(E69=0,"0,0%",G69/E69)</f>
        <v>1</v>
      </c>
      <c r="J69" s="109">
        <f t="shared" si="57"/>
        <v>-1448.1</v>
      </c>
      <c r="K69" s="108">
        <f t="shared" si="58"/>
        <v>0.34</v>
      </c>
      <c r="L69" s="107">
        <f t="shared" ref="L69" si="61">G69-F69</f>
        <v>626.29999999999995</v>
      </c>
    </row>
    <row r="70" spans="1:12" s="27" customFormat="1" ht="27">
      <c r="A70" s="94" t="s">
        <v>94</v>
      </c>
      <c r="B70" s="100" t="s">
        <v>95</v>
      </c>
      <c r="C70" s="96">
        <f>C72+C74</f>
        <v>11606.9</v>
      </c>
      <c r="D70" s="96">
        <f t="shared" ref="D70:G70" si="62">D72+D74</f>
        <v>11606.9</v>
      </c>
      <c r="E70" s="96">
        <f t="shared" si="62"/>
        <v>5666.9</v>
      </c>
      <c r="F70" s="96">
        <f t="shared" ref="F70" si="63">F72+F74</f>
        <v>5331.4</v>
      </c>
      <c r="G70" s="96">
        <f t="shared" si="62"/>
        <v>5666.9</v>
      </c>
      <c r="H70" s="97">
        <f>G70/$G$204</f>
        <v>2.8000000000000001E-2</v>
      </c>
      <c r="I70" s="153">
        <f>IF(E70=0,"0,0%",G70/E70)</f>
        <v>1</v>
      </c>
      <c r="J70" s="98">
        <f t="shared" si="54"/>
        <v>-5940</v>
      </c>
      <c r="K70" s="97">
        <f t="shared" si="55"/>
        <v>0.48799999999999999</v>
      </c>
      <c r="L70" s="99">
        <f t="shared" si="56"/>
        <v>335.5</v>
      </c>
    </row>
    <row r="71" spans="1:12" s="27" customFormat="1">
      <c r="A71" s="18"/>
      <c r="B71" s="188" t="s">
        <v>159</v>
      </c>
      <c r="C71" s="213"/>
      <c r="D71" s="189"/>
      <c r="E71" s="189"/>
      <c r="F71" s="224"/>
      <c r="G71" s="189"/>
      <c r="H71" s="214"/>
      <c r="I71" s="215"/>
      <c r="J71" s="216"/>
      <c r="K71" s="214"/>
      <c r="L71" s="202"/>
    </row>
    <row r="72" spans="1:12" s="48" customFormat="1" ht="40.5" hidden="1" customHeight="1">
      <c r="A72" s="16" t="s">
        <v>158</v>
      </c>
      <c r="B72" s="19" t="s">
        <v>116</v>
      </c>
      <c r="C72" s="170">
        <v>0</v>
      </c>
      <c r="D72" s="22">
        <v>0</v>
      </c>
      <c r="E72" s="22">
        <v>0</v>
      </c>
      <c r="F72" s="225">
        <v>0</v>
      </c>
      <c r="G72" s="22">
        <v>0</v>
      </c>
      <c r="H72" s="108">
        <f>G72/$G$204</f>
        <v>0</v>
      </c>
      <c r="I72" s="153" t="str">
        <f>IF(E72=0,"0,0%",G72/E72)</f>
        <v>0,0%</v>
      </c>
      <c r="J72" s="109">
        <f t="shared" si="54"/>
        <v>0</v>
      </c>
      <c r="K72" s="108" t="e">
        <f t="shared" si="55"/>
        <v>#DIV/0!</v>
      </c>
      <c r="L72" s="107">
        <f t="shared" si="56"/>
        <v>0</v>
      </c>
    </row>
    <row r="73" spans="1:12" s="48" customFormat="1" ht="13.5" hidden="1" customHeight="1">
      <c r="A73" s="16"/>
      <c r="B73" s="8" t="s">
        <v>27</v>
      </c>
      <c r="C73" s="170"/>
      <c r="D73" s="22"/>
      <c r="E73" s="40"/>
      <c r="F73" s="157"/>
      <c r="G73" s="40"/>
      <c r="H73" s="108"/>
      <c r="I73" s="108"/>
      <c r="J73" s="109"/>
      <c r="K73" s="108"/>
      <c r="L73" s="107"/>
    </row>
    <row r="74" spans="1:12" s="48" customFormat="1" ht="40.5">
      <c r="A74" s="16" t="s">
        <v>158</v>
      </c>
      <c r="B74" s="39" t="s">
        <v>160</v>
      </c>
      <c r="C74" s="169">
        <v>11606.9</v>
      </c>
      <c r="D74" s="40">
        <v>11606.9</v>
      </c>
      <c r="E74" s="40">
        <v>5666.9</v>
      </c>
      <c r="F74" s="157">
        <v>5331.4</v>
      </c>
      <c r="G74" s="40">
        <v>5666.9</v>
      </c>
      <c r="H74" s="117">
        <f>G74/$G$204</f>
        <v>2.8000000000000001E-2</v>
      </c>
      <c r="I74" s="153">
        <f>IF(E74=0,"0,0%",G74/E74)</f>
        <v>1</v>
      </c>
      <c r="J74" s="118">
        <f>G74-D74</f>
        <v>-5940</v>
      </c>
      <c r="K74" s="117">
        <f>G74/D74</f>
        <v>0.48799999999999999</v>
      </c>
      <c r="L74" s="123">
        <f>G74-F74</f>
        <v>335.5</v>
      </c>
    </row>
    <row r="75" spans="1:12" s="48" customFormat="1" ht="13.5" hidden="1" customHeight="1">
      <c r="A75" s="134"/>
      <c r="B75" s="176" t="s">
        <v>141</v>
      </c>
      <c r="C75" s="142"/>
      <c r="D75" s="142"/>
      <c r="E75" s="143"/>
      <c r="F75" s="143"/>
      <c r="G75" s="143"/>
      <c r="H75" s="108"/>
      <c r="I75" s="108"/>
      <c r="J75" s="109"/>
      <c r="K75" s="108"/>
      <c r="L75" s="107"/>
    </row>
    <row r="76" spans="1:12" s="48" customFormat="1" ht="13.5" hidden="1" customHeight="1">
      <c r="A76" s="134"/>
      <c r="B76" s="144" t="s">
        <v>115</v>
      </c>
      <c r="C76" s="142"/>
      <c r="D76" s="142"/>
      <c r="E76" s="143"/>
      <c r="F76" s="143">
        <v>0</v>
      </c>
      <c r="G76" s="143">
        <v>0</v>
      </c>
      <c r="H76" s="108">
        <f>G76/$G$204</f>
        <v>0</v>
      </c>
      <c r="I76" s="153" t="str">
        <f>IF(E76=0,"0,0%",G76/E76)</f>
        <v>0,0%</v>
      </c>
      <c r="J76" s="109">
        <f>G76-D76</f>
        <v>0</v>
      </c>
      <c r="K76" s="108" t="e">
        <f>G76/D76</f>
        <v>#DIV/0!</v>
      </c>
      <c r="L76" s="107">
        <f>G76-F76</f>
        <v>0</v>
      </c>
    </row>
    <row r="77" spans="1:12" s="27" customFormat="1">
      <c r="A77" s="94" t="s">
        <v>24</v>
      </c>
      <c r="B77" s="95" t="s">
        <v>26</v>
      </c>
      <c r="C77" s="96">
        <f>C78+C82+C103</f>
        <v>289922.2</v>
      </c>
      <c r="D77" s="96">
        <f>D78+D82+D103</f>
        <v>412010.9</v>
      </c>
      <c r="E77" s="96">
        <f>E78+E82+E103</f>
        <v>91410.1</v>
      </c>
      <c r="F77" s="96">
        <f>F78+F82+F103</f>
        <v>124648.2</v>
      </c>
      <c r="G77" s="96">
        <f>G78+G82+G103</f>
        <v>91313.600000000006</v>
      </c>
      <c r="H77" s="97">
        <f>G77/$G$204</f>
        <v>0.45400000000000001</v>
      </c>
      <c r="I77" s="153">
        <f>IF(E77=0,"0,0%",G77/E77)</f>
        <v>0.999</v>
      </c>
      <c r="J77" s="98">
        <f t="shared" si="54"/>
        <v>-320697.3</v>
      </c>
      <c r="K77" s="97">
        <f t="shared" si="55"/>
        <v>0.222</v>
      </c>
      <c r="L77" s="99">
        <f t="shared" si="56"/>
        <v>-33334.6</v>
      </c>
    </row>
    <row r="78" spans="1:12">
      <c r="A78" s="3" t="s">
        <v>48</v>
      </c>
      <c r="B78" s="9" t="s">
        <v>96</v>
      </c>
      <c r="C78" s="128">
        <v>25000</v>
      </c>
      <c r="D78" s="7">
        <v>25000</v>
      </c>
      <c r="E78" s="7">
        <f>E80</f>
        <v>11727.2</v>
      </c>
      <c r="F78" s="150">
        <f>F80</f>
        <v>10486.7</v>
      </c>
      <c r="G78" s="7">
        <f>G80</f>
        <v>11727.2</v>
      </c>
      <c r="H78" s="108">
        <f>G78/$G$204</f>
        <v>5.8000000000000003E-2</v>
      </c>
      <c r="I78" s="153">
        <f>IF(E78=0,"0,0%",G78/E78)</f>
        <v>1</v>
      </c>
      <c r="J78" s="109">
        <f t="shared" si="54"/>
        <v>-13272.8</v>
      </c>
      <c r="K78" s="108">
        <f t="shared" si="55"/>
        <v>0.46899999999999997</v>
      </c>
      <c r="L78" s="107">
        <f t="shared" si="56"/>
        <v>1240.5</v>
      </c>
    </row>
    <row r="79" spans="1:12">
      <c r="A79" s="3"/>
      <c r="B79" s="8" t="s">
        <v>27</v>
      </c>
      <c r="C79" s="128"/>
      <c r="D79" s="7"/>
      <c r="E79" s="7"/>
      <c r="F79" s="226"/>
      <c r="G79" s="21"/>
      <c r="H79" s="108"/>
      <c r="I79" s="108"/>
      <c r="J79" s="109"/>
      <c r="K79" s="108"/>
      <c r="L79" s="107"/>
    </row>
    <row r="80" spans="1:12" ht="54">
      <c r="A80" s="3"/>
      <c r="B80" s="9" t="s">
        <v>119</v>
      </c>
      <c r="C80" s="128">
        <v>25000</v>
      </c>
      <c r="D80" s="7">
        <v>25000</v>
      </c>
      <c r="E80" s="7">
        <v>11727.2</v>
      </c>
      <c r="F80" s="150">
        <v>10486.7</v>
      </c>
      <c r="G80" s="7">
        <v>11727.2</v>
      </c>
      <c r="H80" s="108">
        <f>G80/$G$204</f>
        <v>5.8000000000000003E-2</v>
      </c>
      <c r="I80" s="153">
        <f>IF(E80=0,"0,0%",G80/E80)</f>
        <v>1</v>
      </c>
      <c r="J80" s="109">
        <f t="shared" si="54"/>
        <v>-13272.8</v>
      </c>
      <c r="K80" s="108">
        <f t="shared" si="55"/>
        <v>0.46899999999999997</v>
      </c>
      <c r="L80" s="107">
        <f t="shared" si="56"/>
        <v>1240.5</v>
      </c>
    </row>
    <row r="81" spans="1:12" s="48" customFormat="1" ht="13.5" hidden="1" customHeight="1">
      <c r="A81" s="16"/>
      <c r="B81" s="39" t="s">
        <v>153</v>
      </c>
      <c r="C81" s="169"/>
      <c r="D81" s="40"/>
      <c r="E81" s="40"/>
      <c r="F81" s="157"/>
      <c r="G81" s="40"/>
      <c r="H81" s="117">
        <f>G81/$G$204</f>
        <v>0</v>
      </c>
      <c r="I81" s="153" t="str">
        <f>IF(E81=0,"0,0%",G81/E81)</f>
        <v>0,0%</v>
      </c>
      <c r="J81" s="118">
        <f>G81-D81</f>
        <v>0</v>
      </c>
      <c r="K81" s="117" t="e">
        <f>G81/D81</f>
        <v>#DIV/0!</v>
      </c>
      <c r="L81" s="123">
        <f>G81-F81</f>
        <v>0</v>
      </c>
    </row>
    <row r="82" spans="1:12" s="1" customFormat="1">
      <c r="A82" s="3" t="s">
        <v>97</v>
      </c>
      <c r="B82" s="9" t="s">
        <v>98</v>
      </c>
      <c r="C82" s="128">
        <f>C84+C99</f>
        <v>262519.59999999998</v>
      </c>
      <c r="D82" s="7">
        <f>D84+D99</f>
        <v>379908.3</v>
      </c>
      <c r="E82" s="7">
        <f>E84+E99</f>
        <v>78736.5</v>
      </c>
      <c r="F82" s="150">
        <f>F84+F99</f>
        <v>113077.5</v>
      </c>
      <c r="G82" s="7">
        <f>G84+G99</f>
        <v>78640</v>
      </c>
      <c r="H82" s="108">
        <f>G82/$G$204</f>
        <v>0.39100000000000001</v>
      </c>
      <c r="I82" s="153">
        <f>IF(E82=0,"0,0%",G82/E82)</f>
        <v>0.999</v>
      </c>
      <c r="J82" s="109">
        <f t="shared" si="54"/>
        <v>-301268.3</v>
      </c>
      <c r="K82" s="108">
        <f t="shared" si="55"/>
        <v>0.20699999999999999</v>
      </c>
      <c r="L82" s="107">
        <f t="shared" si="56"/>
        <v>-34437.5</v>
      </c>
    </row>
    <row r="83" spans="1:12" s="1" customFormat="1">
      <c r="A83" s="3"/>
      <c r="B83" s="8" t="s">
        <v>219</v>
      </c>
      <c r="C83" s="128"/>
      <c r="D83" s="7"/>
      <c r="E83" s="7"/>
      <c r="F83" s="227"/>
      <c r="G83" s="43"/>
      <c r="H83" s="108"/>
      <c r="I83" s="108"/>
      <c r="J83" s="109"/>
      <c r="K83" s="108"/>
      <c r="L83" s="107"/>
    </row>
    <row r="84" spans="1:12" s="1" customFormat="1" ht="27">
      <c r="A84" s="3"/>
      <c r="B84" s="9" t="s">
        <v>203</v>
      </c>
      <c r="C84" s="136">
        <f>C91+C92+5830.4</f>
        <v>210281.4</v>
      </c>
      <c r="D84" s="7">
        <f>D91+D92+5830.4</f>
        <v>212644.9</v>
      </c>
      <c r="E84" s="7">
        <f>E91+E92+1227.5</f>
        <v>76434.5</v>
      </c>
      <c r="F84" s="150">
        <v>110906.5</v>
      </c>
      <c r="G84" s="7">
        <f>G91+G92+1227.5+0.2</f>
        <v>76397</v>
      </c>
      <c r="H84" s="108">
        <f>G84/$G$204</f>
        <v>0.379</v>
      </c>
      <c r="I84" s="153">
        <f t="shared" ref="I84:I103" si="64">IF(E84=0,"0,0%",G84/E84)</f>
        <v>1</v>
      </c>
      <c r="J84" s="109">
        <f t="shared" si="54"/>
        <v>-136247.9</v>
      </c>
      <c r="K84" s="108">
        <f t="shared" si="55"/>
        <v>0.35899999999999999</v>
      </c>
      <c r="L84" s="107">
        <f t="shared" si="56"/>
        <v>-34509.5</v>
      </c>
    </row>
    <row r="85" spans="1:12" s="1" customFormat="1" ht="67.5" hidden="1" customHeight="1">
      <c r="A85" s="3"/>
      <c r="B85" s="9" t="s">
        <v>134</v>
      </c>
      <c r="C85" s="128"/>
      <c r="D85" s="7"/>
      <c r="E85" s="7"/>
      <c r="F85" s="150">
        <v>0</v>
      </c>
      <c r="G85" s="7">
        <v>0</v>
      </c>
      <c r="H85" s="108">
        <f>G85/$G$204</f>
        <v>0</v>
      </c>
      <c r="I85" s="153" t="str">
        <f t="shared" si="64"/>
        <v>0,0%</v>
      </c>
      <c r="J85" s="109">
        <f t="shared" si="54"/>
        <v>0</v>
      </c>
      <c r="K85" s="108" t="e">
        <f t="shared" si="55"/>
        <v>#DIV/0!</v>
      </c>
      <c r="L85" s="107">
        <f t="shared" si="56"/>
        <v>0</v>
      </c>
    </row>
    <row r="86" spans="1:12" s="1" customFormat="1" ht="54" hidden="1" customHeight="1">
      <c r="A86" s="3"/>
      <c r="B86" s="9" t="s">
        <v>135</v>
      </c>
      <c r="C86" s="128"/>
      <c r="D86" s="7"/>
      <c r="E86" s="7"/>
      <c r="F86" s="150">
        <v>0</v>
      </c>
      <c r="G86" s="7">
        <v>0</v>
      </c>
      <c r="H86" s="108">
        <f>G86/$G$204</f>
        <v>0</v>
      </c>
      <c r="I86" s="153" t="str">
        <f t="shared" si="64"/>
        <v>0,0%</v>
      </c>
      <c r="J86" s="109">
        <f t="shared" si="54"/>
        <v>0</v>
      </c>
      <c r="K86" s="108" t="e">
        <f t="shared" si="55"/>
        <v>#DIV/0!</v>
      </c>
      <c r="L86" s="107">
        <f t="shared" si="56"/>
        <v>0</v>
      </c>
    </row>
    <row r="87" spans="1:12" s="1" customFormat="1" ht="40.5" hidden="1" customHeight="1">
      <c r="A87" s="3"/>
      <c r="B87" s="9" t="s">
        <v>100</v>
      </c>
      <c r="C87" s="128"/>
      <c r="D87" s="7"/>
      <c r="E87" s="7"/>
      <c r="F87" s="150">
        <v>0</v>
      </c>
      <c r="G87" s="7">
        <v>0</v>
      </c>
      <c r="H87" s="108">
        <f>G87/$G$204</f>
        <v>0</v>
      </c>
      <c r="I87" s="153" t="str">
        <f t="shared" si="64"/>
        <v>0,0%</v>
      </c>
      <c r="J87" s="109">
        <f t="shared" si="54"/>
        <v>0</v>
      </c>
      <c r="K87" s="108" t="e">
        <f t="shared" si="55"/>
        <v>#DIV/0!</v>
      </c>
      <c r="L87" s="107">
        <f t="shared" si="56"/>
        <v>0</v>
      </c>
    </row>
    <row r="88" spans="1:12" s="48" customFormat="1" ht="13.5" hidden="1" customHeight="1">
      <c r="A88" s="16"/>
      <c r="B88" s="39" t="s">
        <v>153</v>
      </c>
      <c r="C88" s="169"/>
      <c r="D88" s="40"/>
      <c r="E88" s="40"/>
      <c r="F88" s="157">
        <v>0</v>
      </c>
      <c r="G88" s="40">
        <v>0</v>
      </c>
      <c r="H88" s="108">
        <f>G88/$G$204</f>
        <v>0</v>
      </c>
      <c r="I88" s="153" t="str">
        <f t="shared" si="64"/>
        <v>0,0%</v>
      </c>
      <c r="J88" s="109">
        <f t="shared" si="54"/>
        <v>0</v>
      </c>
      <c r="K88" s="108" t="e">
        <f t="shared" si="55"/>
        <v>#DIV/0!</v>
      </c>
      <c r="L88" s="107">
        <f t="shared" si="56"/>
        <v>0</v>
      </c>
    </row>
    <row r="89" spans="1:12" s="48" customFormat="1" ht="13.5" customHeight="1">
      <c r="A89" s="16"/>
      <c r="B89" s="218" t="s">
        <v>219</v>
      </c>
      <c r="C89" s="169"/>
      <c r="D89" s="40"/>
      <c r="E89" s="40"/>
      <c r="F89" s="157"/>
      <c r="G89" s="40"/>
      <c r="H89" s="108"/>
      <c r="I89" s="153"/>
      <c r="J89" s="109"/>
      <c r="K89" s="108"/>
      <c r="L89" s="107"/>
    </row>
    <row r="90" spans="1:12" s="48" customFormat="1" ht="71.25" customHeight="1">
      <c r="A90" s="16"/>
      <c r="B90" s="220" t="s">
        <v>232</v>
      </c>
      <c r="C90" s="169">
        <f>C91+C92</f>
        <v>204451</v>
      </c>
      <c r="D90" s="157">
        <f>D91+D92</f>
        <v>206814.5</v>
      </c>
      <c r="E90" s="157">
        <f>E91+E92</f>
        <v>75207</v>
      </c>
      <c r="F90" s="157">
        <f>F91+F92</f>
        <v>0</v>
      </c>
      <c r="G90" s="157">
        <f>G91+G92</f>
        <v>75169.3</v>
      </c>
      <c r="H90" s="108">
        <f>G90/$G$204</f>
        <v>0.373</v>
      </c>
      <c r="I90" s="153">
        <f t="shared" si="64"/>
        <v>0.999</v>
      </c>
      <c r="J90" s="109">
        <f t="shared" si="54"/>
        <v>-131645.20000000001</v>
      </c>
      <c r="K90" s="108">
        <f t="shared" si="55"/>
        <v>0.36299999999999999</v>
      </c>
      <c r="L90" s="107">
        <f t="shared" si="56"/>
        <v>75169.3</v>
      </c>
    </row>
    <row r="91" spans="1:12" s="48" customFormat="1" ht="42" customHeight="1">
      <c r="A91" s="17">
        <v>611</v>
      </c>
      <c r="B91" s="9" t="s">
        <v>104</v>
      </c>
      <c r="C91" s="169">
        <v>199451</v>
      </c>
      <c r="D91" s="40">
        <v>182374.5</v>
      </c>
      <c r="E91" s="40">
        <v>55186.8</v>
      </c>
      <c r="F91" s="157">
        <v>0</v>
      </c>
      <c r="G91" s="40">
        <v>55186.8</v>
      </c>
      <c r="H91" s="108">
        <f>G91/$G$204</f>
        <v>0.27400000000000002</v>
      </c>
      <c r="I91" s="153">
        <f t="shared" si="64"/>
        <v>1</v>
      </c>
      <c r="J91" s="109">
        <f t="shared" si="54"/>
        <v>-127187.7</v>
      </c>
      <c r="K91" s="108">
        <f t="shared" si="55"/>
        <v>0.30299999999999999</v>
      </c>
      <c r="L91" s="107">
        <f t="shared" si="56"/>
        <v>55186.8</v>
      </c>
    </row>
    <row r="92" spans="1:12" s="48" customFormat="1" ht="13.5" customHeight="1">
      <c r="A92" s="17">
        <v>612</v>
      </c>
      <c r="B92" s="9" t="s">
        <v>105</v>
      </c>
      <c r="C92" s="169">
        <v>5000</v>
      </c>
      <c r="D92" s="40">
        <v>24440</v>
      </c>
      <c r="E92" s="40">
        <v>20020.2</v>
      </c>
      <c r="F92" s="157">
        <v>0</v>
      </c>
      <c r="G92" s="40">
        <f>19982.6-0.1</f>
        <v>19982.5</v>
      </c>
      <c r="H92" s="108">
        <f>G92/$G$204</f>
        <v>9.9000000000000005E-2</v>
      </c>
      <c r="I92" s="153">
        <f>IF(E92=0,"0,0%",G92/E92)</f>
        <v>0.998</v>
      </c>
      <c r="J92" s="109">
        <f>G92-D92</f>
        <v>-4457.5</v>
      </c>
      <c r="K92" s="108">
        <f>G92/D92</f>
        <v>0.81799999999999995</v>
      </c>
      <c r="L92" s="107">
        <f>G92-F92</f>
        <v>19982.5</v>
      </c>
    </row>
    <row r="93" spans="1:12" s="48" customFormat="1" ht="13.5" customHeight="1">
      <c r="A93" s="134"/>
      <c r="B93" s="135" t="s">
        <v>242</v>
      </c>
      <c r="C93" s="169"/>
      <c r="D93" s="40"/>
      <c r="E93" s="40"/>
      <c r="F93" s="157"/>
      <c r="G93" s="40"/>
      <c r="H93" s="108"/>
      <c r="I93" s="153"/>
      <c r="J93" s="109"/>
      <c r="K93" s="108"/>
      <c r="L93" s="107"/>
    </row>
    <row r="94" spans="1:12" s="48" customFormat="1" ht="13.5" customHeight="1">
      <c r="A94" s="126"/>
      <c r="B94" s="127" t="s">
        <v>106</v>
      </c>
      <c r="C94" s="169">
        <v>90423.5</v>
      </c>
      <c r="D94" s="40">
        <v>83961.3</v>
      </c>
      <c r="E94" s="40">
        <v>44198.8</v>
      </c>
      <c r="F94" s="157">
        <v>0</v>
      </c>
      <c r="G94" s="40">
        <v>44198.8</v>
      </c>
      <c r="H94" s="108">
        <f t="shared" ref="H94:H99" si="65">G94/$G$204</f>
        <v>0.22</v>
      </c>
      <c r="I94" s="153">
        <f t="shared" si="64"/>
        <v>1</v>
      </c>
      <c r="J94" s="109">
        <f t="shared" si="54"/>
        <v>-39762.5</v>
      </c>
      <c r="K94" s="108">
        <f t="shared" si="55"/>
        <v>0.52600000000000002</v>
      </c>
      <c r="L94" s="107">
        <f t="shared" si="56"/>
        <v>44198.8</v>
      </c>
    </row>
    <row r="95" spans="1:12" s="48" customFormat="1" ht="13.5" customHeight="1">
      <c r="A95" s="126"/>
      <c r="B95" s="127" t="s">
        <v>189</v>
      </c>
      <c r="C95" s="169">
        <v>92.8</v>
      </c>
      <c r="D95" s="40">
        <v>92.8</v>
      </c>
      <c r="E95" s="40">
        <v>1.4</v>
      </c>
      <c r="F95" s="157">
        <v>0</v>
      </c>
      <c r="G95" s="40">
        <v>1.4</v>
      </c>
      <c r="H95" s="108">
        <f t="shared" si="65"/>
        <v>0</v>
      </c>
      <c r="I95" s="153">
        <f t="shared" si="64"/>
        <v>1</v>
      </c>
      <c r="J95" s="109">
        <f t="shared" si="54"/>
        <v>-91.4</v>
      </c>
      <c r="K95" s="108">
        <f t="shared" si="55"/>
        <v>1.4999999999999999E-2</v>
      </c>
      <c r="L95" s="107">
        <f t="shared" si="56"/>
        <v>1.4</v>
      </c>
    </row>
    <row r="96" spans="1:12" s="48" customFormat="1" ht="13.5" customHeight="1">
      <c r="A96" s="126"/>
      <c r="B96" s="127" t="s">
        <v>109</v>
      </c>
      <c r="C96" s="169">
        <v>4287.7</v>
      </c>
      <c r="D96" s="40">
        <v>2278.1999999999998</v>
      </c>
      <c r="E96" s="40">
        <v>1107</v>
      </c>
      <c r="F96" s="157">
        <v>0</v>
      </c>
      <c r="G96" s="40">
        <v>1069.4000000000001</v>
      </c>
      <c r="H96" s="108">
        <f t="shared" si="65"/>
        <v>5.0000000000000001E-3</v>
      </c>
      <c r="I96" s="153">
        <f t="shared" si="64"/>
        <v>0.96599999999999997</v>
      </c>
      <c r="J96" s="109">
        <f t="shared" si="54"/>
        <v>-1208.8</v>
      </c>
      <c r="K96" s="108">
        <f t="shared" si="55"/>
        <v>0.46899999999999997</v>
      </c>
      <c r="L96" s="107">
        <f t="shared" si="56"/>
        <v>1069.4000000000001</v>
      </c>
    </row>
    <row r="97" spans="1:12" s="48" customFormat="1" ht="13.5" customHeight="1">
      <c r="A97" s="126"/>
      <c r="B97" s="127" t="s">
        <v>187</v>
      </c>
      <c r="C97" s="169">
        <v>542.20000000000005</v>
      </c>
      <c r="D97" s="40">
        <v>830</v>
      </c>
      <c r="E97" s="40">
        <v>287.7</v>
      </c>
      <c r="F97" s="157">
        <v>0</v>
      </c>
      <c r="G97" s="40">
        <v>287.7</v>
      </c>
      <c r="H97" s="108">
        <f t="shared" si="65"/>
        <v>1E-3</v>
      </c>
      <c r="I97" s="153">
        <f t="shared" si="64"/>
        <v>1</v>
      </c>
      <c r="J97" s="109">
        <f t="shared" si="54"/>
        <v>-542.29999999999995</v>
      </c>
      <c r="K97" s="108">
        <f t="shared" si="55"/>
        <v>0.34699999999999998</v>
      </c>
      <c r="L97" s="107">
        <f t="shared" si="56"/>
        <v>287.7</v>
      </c>
    </row>
    <row r="98" spans="1:12" s="48" customFormat="1" ht="13.5" customHeight="1">
      <c r="A98" s="126"/>
      <c r="B98" s="127" t="s">
        <v>188</v>
      </c>
      <c r="C98" s="169">
        <v>109104.8</v>
      </c>
      <c r="D98" s="40">
        <v>119652.2</v>
      </c>
      <c r="E98" s="40">
        <f>29612.1</f>
        <v>29612.1</v>
      </c>
      <c r="F98" s="157">
        <v>0</v>
      </c>
      <c r="G98" s="40">
        <v>29612</v>
      </c>
      <c r="H98" s="108">
        <f t="shared" si="65"/>
        <v>0.14699999999999999</v>
      </c>
      <c r="I98" s="153">
        <f t="shared" si="64"/>
        <v>1</v>
      </c>
      <c r="J98" s="109">
        <f t="shared" si="54"/>
        <v>-90040.2</v>
      </c>
      <c r="K98" s="108">
        <f t="shared" si="55"/>
        <v>0.247</v>
      </c>
      <c r="L98" s="107">
        <f t="shared" si="56"/>
        <v>29612</v>
      </c>
    </row>
    <row r="99" spans="1:12" s="1" customFormat="1" ht="49.5" customHeight="1">
      <c r="A99" s="190" t="s">
        <v>218</v>
      </c>
      <c r="B99" s="9" t="s">
        <v>99</v>
      </c>
      <c r="C99" s="128">
        <f>52238.2+C101+C102</f>
        <v>52238.2</v>
      </c>
      <c r="D99" s="7">
        <f>47263.4+D101+D102</f>
        <v>167263.4</v>
      </c>
      <c r="E99" s="7">
        <f>2302+E101+E102</f>
        <v>2302</v>
      </c>
      <c r="F99" s="150">
        <v>2171</v>
      </c>
      <c r="G99" s="7">
        <f>2243+G101+G102</f>
        <v>2243</v>
      </c>
      <c r="H99" s="108">
        <f t="shared" si="65"/>
        <v>1.0999999999999999E-2</v>
      </c>
      <c r="I99" s="153">
        <f>IF(E99=0,"0,0%",G99/E99)</f>
        <v>0.97399999999999998</v>
      </c>
      <c r="J99" s="109">
        <f>G99-D99</f>
        <v>-165020.4</v>
      </c>
      <c r="K99" s="108">
        <f>G99/D99</f>
        <v>1.2999999999999999E-2</v>
      </c>
      <c r="L99" s="107">
        <f>G99-F99</f>
        <v>72</v>
      </c>
    </row>
    <row r="100" spans="1:12" s="1" customFormat="1" ht="15.75" customHeight="1">
      <c r="A100" s="190"/>
      <c r="B100" s="9" t="s">
        <v>27</v>
      </c>
      <c r="C100" s="128"/>
      <c r="D100" s="7"/>
      <c r="E100" s="7"/>
      <c r="F100" s="150"/>
      <c r="G100" s="7"/>
      <c r="H100" s="108"/>
      <c r="I100" s="153"/>
      <c r="J100" s="109"/>
      <c r="K100" s="108"/>
      <c r="L100" s="107"/>
    </row>
    <row r="101" spans="1:12" s="1" customFormat="1" ht="91.5" customHeight="1">
      <c r="A101" s="190" t="s">
        <v>244</v>
      </c>
      <c r="B101" s="38" t="s">
        <v>243</v>
      </c>
      <c r="C101" s="128">
        <v>0</v>
      </c>
      <c r="D101" s="7">
        <v>60000</v>
      </c>
      <c r="E101" s="7">
        <v>0</v>
      </c>
      <c r="F101" s="150">
        <v>0</v>
      </c>
      <c r="G101" s="7">
        <v>0</v>
      </c>
      <c r="H101" s="108">
        <f>G101/$G$204</f>
        <v>0</v>
      </c>
      <c r="I101" s="153" t="str">
        <f t="shared" ref="I101:I102" si="66">IF(E101=0,"0,0%",G101/E101)</f>
        <v>0,0%</v>
      </c>
      <c r="J101" s="109">
        <f t="shared" ref="J101:J102" si="67">G101-D101</f>
        <v>-60000</v>
      </c>
      <c r="K101" s="108">
        <f t="shared" ref="K101:K102" si="68">G101/D101</f>
        <v>0</v>
      </c>
      <c r="L101" s="107">
        <f t="shared" ref="L101:L102" si="69">G101-F101</f>
        <v>0</v>
      </c>
    </row>
    <row r="102" spans="1:12" s="1" customFormat="1" ht="106.5" customHeight="1">
      <c r="A102" s="190" t="s">
        <v>245</v>
      </c>
      <c r="B102" s="8" t="s">
        <v>253</v>
      </c>
      <c r="C102" s="128">
        <v>0</v>
      </c>
      <c r="D102" s="7">
        <v>60000</v>
      </c>
      <c r="E102" s="7">
        <v>0</v>
      </c>
      <c r="F102" s="150">
        <v>0</v>
      </c>
      <c r="G102" s="7">
        <v>0</v>
      </c>
      <c r="H102" s="108">
        <f>G102/$G$204</f>
        <v>0</v>
      </c>
      <c r="I102" s="153" t="str">
        <f t="shared" si="66"/>
        <v>0,0%</v>
      </c>
      <c r="J102" s="109">
        <f t="shared" si="67"/>
        <v>-60000</v>
      </c>
      <c r="K102" s="108">
        <f t="shared" si="68"/>
        <v>0</v>
      </c>
      <c r="L102" s="107">
        <f t="shared" si="69"/>
        <v>0</v>
      </c>
    </row>
    <row r="103" spans="1:12" s="1" customFormat="1">
      <c r="A103" s="3" t="s">
        <v>161</v>
      </c>
      <c r="B103" s="9" t="s">
        <v>147</v>
      </c>
      <c r="C103" s="128">
        <f>C105+C107</f>
        <v>2402.6</v>
      </c>
      <c r="D103" s="7">
        <f>D105+D107</f>
        <v>7102.6</v>
      </c>
      <c r="E103" s="7">
        <f>E105+E107</f>
        <v>946.4</v>
      </c>
      <c r="F103" s="150">
        <f>F105+F107</f>
        <v>1084</v>
      </c>
      <c r="G103" s="7">
        <f>G105+G107</f>
        <v>946.4</v>
      </c>
      <c r="H103" s="108">
        <f>G103/$G$204</f>
        <v>5.0000000000000001E-3</v>
      </c>
      <c r="I103" s="153">
        <f t="shared" si="64"/>
        <v>1</v>
      </c>
      <c r="J103" s="109">
        <f t="shared" si="54"/>
        <v>-6156.2</v>
      </c>
      <c r="K103" s="108">
        <f t="shared" si="55"/>
        <v>0.13300000000000001</v>
      </c>
      <c r="L103" s="107">
        <f>G103-F103</f>
        <v>-137.6</v>
      </c>
    </row>
    <row r="104" spans="1:12" s="1" customFormat="1">
      <c r="A104" s="3"/>
      <c r="B104" s="8" t="s">
        <v>27</v>
      </c>
      <c r="C104" s="128"/>
      <c r="D104" s="7"/>
      <c r="E104" s="7"/>
      <c r="F104" s="150"/>
      <c r="G104" s="7"/>
      <c r="H104" s="108"/>
      <c r="I104" s="108"/>
      <c r="J104" s="109"/>
      <c r="K104" s="108"/>
      <c r="L104" s="107"/>
    </row>
    <row r="105" spans="1:12" s="48" customFormat="1" ht="40.5">
      <c r="A105" s="16"/>
      <c r="B105" s="39" t="s">
        <v>163</v>
      </c>
      <c r="C105" s="169">
        <v>2402.6</v>
      </c>
      <c r="D105" s="40">
        <v>2402.6</v>
      </c>
      <c r="E105" s="40">
        <v>946.4</v>
      </c>
      <c r="F105" s="157">
        <v>1084</v>
      </c>
      <c r="G105" s="40">
        <v>946.4</v>
      </c>
      <c r="H105" s="117">
        <f>G105/$G$204</f>
        <v>5.0000000000000001E-3</v>
      </c>
      <c r="I105" s="153">
        <f>IF(E105=0,"0,0%",G105/E105)</f>
        <v>1</v>
      </c>
      <c r="J105" s="118">
        <f>G105-D105</f>
        <v>-1456.2</v>
      </c>
      <c r="K105" s="117">
        <f>G105/D105</f>
        <v>0.39400000000000002</v>
      </c>
      <c r="L105" s="123">
        <f>G105-F105</f>
        <v>-137.6</v>
      </c>
    </row>
    <row r="106" spans="1:12" s="48" customFormat="1" ht="54" hidden="1" customHeight="1">
      <c r="A106" s="16"/>
      <c r="B106" s="39" t="s">
        <v>162</v>
      </c>
      <c r="C106" s="169">
        <v>0</v>
      </c>
      <c r="D106" s="40">
        <v>0</v>
      </c>
      <c r="E106" s="40">
        <v>0</v>
      </c>
      <c r="F106" s="157">
        <v>0</v>
      </c>
      <c r="G106" s="40">
        <v>0</v>
      </c>
      <c r="H106" s="117">
        <f>G106/$G$204</f>
        <v>0</v>
      </c>
      <c r="I106" s="153" t="str">
        <f>IF(E106=0,"0,0%",G106/E106)</f>
        <v>0,0%</v>
      </c>
      <c r="J106" s="118">
        <f>G106-D106</f>
        <v>0</v>
      </c>
      <c r="K106" s="117" t="e">
        <f>G106/D106</f>
        <v>#DIV/0!</v>
      </c>
      <c r="L106" s="123">
        <f>G106-F106</f>
        <v>0</v>
      </c>
    </row>
    <row r="107" spans="1:12" s="48" customFormat="1" ht="23.25" customHeight="1">
      <c r="A107" s="16"/>
      <c r="B107" s="39" t="s">
        <v>246</v>
      </c>
      <c r="C107" s="169">
        <v>0</v>
      </c>
      <c r="D107" s="40">
        <v>4700</v>
      </c>
      <c r="E107" s="40">
        <v>0</v>
      </c>
      <c r="F107" s="157">
        <v>0</v>
      </c>
      <c r="G107" s="40">
        <v>0</v>
      </c>
      <c r="H107" s="117">
        <f>G107/$G$204</f>
        <v>0</v>
      </c>
      <c r="I107" s="153" t="str">
        <f>IF(E107=0,"0,0%",G107/E107)</f>
        <v>0,0%</v>
      </c>
      <c r="J107" s="118">
        <f>G107-D107</f>
        <v>-4700</v>
      </c>
      <c r="K107" s="117">
        <f>G107/D107</f>
        <v>0</v>
      </c>
      <c r="L107" s="123">
        <f>G107-F107</f>
        <v>0</v>
      </c>
    </row>
    <row r="108" spans="1:12" s="1" customFormat="1">
      <c r="A108" s="145"/>
      <c r="B108" s="176" t="s">
        <v>142</v>
      </c>
      <c r="C108" s="136"/>
      <c r="D108" s="136"/>
      <c r="E108" s="136"/>
      <c r="F108" s="136"/>
      <c r="G108" s="136"/>
      <c r="H108" s="108"/>
      <c r="I108" s="108"/>
      <c r="J108" s="109"/>
      <c r="K108" s="108"/>
      <c r="L108" s="107"/>
    </row>
    <row r="109" spans="1:12" s="1" customFormat="1">
      <c r="A109" s="145"/>
      <c r="B109" s="144" t="s">
        <v>164</v>
      </c>
      <c r="C109" s="136">
        <v>58068.6</v>
      </c>
      <c r="D109" s="128">
        <v>173068.6</v>
      </c>
      <c r="E109" s="128">
        <v>3504.3</v>
      </c>
      <c r="F109" s="136">
        <v>52584.1</v>
      </c>
      <c r="G109" s="128">
        <v>3445.7</v>
      </c>
      <c r="H109" s="108">
        <f>G109/$G$204</f>
        <v>1.7000000000000001E-2</v>
      </c>
      <c r="I109" s="153">
        <f>IF(E109=0,"0,0%",G109/E109)</f>
        <v>0.98299999999999998</v>
      </c>
      <c r="J109" s="109">
        <f t="shared" si="54"/>
        <v>-169622.9</v>
      </c>
      <c r="K109" s="108">
        <f t="shared" si="55"/>
        <v>0.02</v>
      </c>
      <c r="L109" s="107">
        <f t="shared" si="56"/>
        <v>-49138.400000000001</v>
      </c>
    </row>
    <row r="110" spans="1:12" s="27" customFormat="1">
      <c r="A110" s="94" t="s">
        <v>22</v>
      </c>
      <c r="B110" s="101" t="s">
        <v>8</v>
      </c>
      <c r="C110" s="99">
        <f>C111+C130+C146+C127</f>
        <v>148882.29999999999</v>
      </c>
      <c r="D110" s="99">
        <f>D111+D130+D146+D127</f>
        <v>162177.29999999999</v>
      </c>
      <c r="E110" s="99">
        <f>E111+E130+E146+E127</f>
        <v>42142.3</v>
      </c>
      <c r="F110" s="99">
        <f>F111+F130+F146+F127</f>
        <v>56712.4</v>
      </c>
      <c r="G110" s="99">
        <f>G111+G130+G146+G127</f>
        <v>42142.2</v>
      </c>
      <c r="H110" s="97">
        <f>G110/$G$204</f>
        <v>0.20899999999999999</v>
      </c>
      <c r="I110" s="153">
        <f>IF(E110=0,"0,0%",G110/E110)</f>
        <v>1</v>
      </c>
      <c r="J110" s="98">
        <f t="shared" si="54"/>
        <v>-120035.1</v>
      </c>
      <c r="K110" s="97">
        <f>G110/D110</f>
        <v>0.26</v>
      </c>
      <c r="L110" s="99">
        <f t="shared" si="56"/>
        <v>-14570.2</v>
      </c>
    </row>
    <row r="111" spans="1:12">
      <c r="A111" s="16" t="s">
        <v>57</v>
      </c>
      <c r="B111" s="38" t="s">
        <v>73</v>
      </c>
      <c r="C111" s="169">
        <f>C113+C114+C115+C116+C124+C126+C123+C125</f>
        <v>30281.9</v>
      </c>
      <c r="D111" s="157">
        <f>D113+D114+D115+D116+D124+D126+D125+D123</f>
        <v>43539.3</v>
      </c>
      <c r="E111" s="157">
        <f>E113+E114+E115+E116+E124+E126+E123+E125</f>
        <v>2879.6</v>
      </c>
      <c r="F111" s="157">
        <f>F113+F114+F115+F116+F124+F126+F125</f>
        <v>11178.6</v>
      </c>
      <c r="G111" s="157">
        <f>G113+G114+G115+G116+G124+G126+G123+G125</f>
        <v>2879.5</v>
      </c>
      <c r="H111" s="108">
        <f>G111/$G$204</f>
        <v>1.4E-2</v>
      </c>
      <c r="I111" s="153">
        <f>IF(E111=0,"0,0%",G111/E111)</f>
        <v>1</v>
      </c>
      <c r="J111" s="109">
        <f t="shared" si="54"/>
        <v>-40659.800000000003</v>
      </c>
      <c r="K111" s="108">
        <f t="shared" si="55"/>
        <v>6.6000000000000003E-2</v>
      </c>
      <c r="L111" s="107">
        <f t="shared" si="56"/>
        <v>-8299.1</v>
      </c>
    </row>
    <row r="112" spans="1:12">
      <c r="A112" s="16"/>
      <c r="B112" s="38" t="s">
        <v>219</v>
      </c>
      <c r="C112" s="171"/>
      <c r="D112" s="5"/>
      <c r="E112" s="5"/>
      <c r="F112" s="221"/>
      <c r="G112" s="5"/>
      <c r="H112" s="108"/>
      <c r="I112" s="108"/>
      <c r="J112" s="109"/>
      <c r="K112" s="108"/>
      <c r="L112" s="107"/>
    </row>
    <row r="113" spans="1:12" ht="40.5">
      <c r="A113" s="16"/>
      <c r="B113" s="39" t="s">
        <v>75</v>
      </c>
      <c r="C113" s="169">
        <v>835.5</v>
      </c>
      <c r="D113" s="157">
        <v>835.5</v>
      </c>
      <c r="E113" s="157">
        <v>263.5</v>
      </c>
      <c r="F113" s="157">
        <v>500.2</v>
      </c>
      <c r="G113" s="157">
        <v>263.5</v>
      </c>
      <c r="H113" s="108">
        <f>G113/$G$204</f>
        <v>1E-3</v>
      </c>
      <c r="I113" s="153">
        <f t="shared" ref="I113:I127" si="70">IF(E113=0,"0,0%",G113/E113)</f>
        <v>1</v>
      </c>
      <c r="J113" s="109">
        <f t="shared" si="54"/>
        <v>-572</v>
      </c>
      <c r="K113" s="108">
        <f t="shared" si="55"/>
        <v>0.315</v>
      </c>
      <c r="L113" s="107">
        <f t="shared" si="56"/>
        <v>-236.7</v>
      </c>
    </row>
    <row r="114" spans="1:12" ht="27">
      <c r="A114" s="16"/>
      <c r="B114" s="39" t="s">
        <v>165</v>
      </c>
      <c r="C114" s="169">
        <v>2966</v>
      </c>
      <c r="D114" s="157">
        <v>3024.6</v>
      </c>
      <c r="E114" s="157">
        <v>58.6</v>
      </c>
      <c r="F114" s="157">
        <v>0</v>
      </c>
      <c r="G114" s="157">
        <v>58.6</v>
      </c>
      <c r="H114" s="108">
        <f>G114/$G$204</f>
        <v>0</v>
      </c>
      <c r="I114" s="153">
        <f t="shared" si="70"/>
        <v>1</v>
      </c>
      <c r="J114" s="109">
        <f t="shared" ref="J114" si="71">G114-D114</f>
        <v>-2966</v>
      </c>
      <c r="K114" s="108">
        <f t="shared" ref="K114" si="72">G114/D114</f>
        <v>1.9E-2</v>
      </c>
      <c r="L114" s="107">
        <f t="shared" ref="L114" si="73">G114-F114</f>
        <v>58.6</v>
      </c>
    </row>
    <row r="115" spans="1:12">
      <c r="A115" s="16" t="s">
        <v>226</v>
      </c>
      <c r="B115" s="39" t="s">
        <v>200</v>
      </c>
      <c r="C115" s="169">
        <v>23916.3</v>
      </c>
      <c r="D115" s="157">
        <v>24002.7</v>
      </c>
      <c r="E115" s="157">
        <v>2144.6</v>
      </c>
      <c r="F115" s="157">
        <v>0</v>
      </c>
      <c r="G115" s="157">
        <v>2144.5</v>
      </c>
      <c r="H115" s="108">
        <f>G115/$G$204</f>
        <v>1.0999999999999999E-2</v>
      </c>
      <c r="I115" s="153">
        <f t="shared" si="70"/>
        <v>1</v>
      </c>
      <c r="J115" s="109">
        <f t="shared" ref="J115" si="74">G115-D115</f>
        <v>-21858.2</v>
      </c>
      <c r="K115" s="108">
        <f t="shared" ref="K115" si="75">G115/D115</f>
        <v>8.8999999999999996E-2</v>
      </c>
      <c r="L115" s="107">
        <f t="shared" ref="L115" si="76">G115-F115</f>
        <v>2144.5</v>
      </c>
    </row>
    <row r="116" spans="1:12">
      <c r="A116" s="16"/>
      <c r="B116" s="39" t="s">
        <v>225</v>
      </c>
      <c r="C116" s="143">
        <f t="shared" ref="C116:F116" si="77">C118+C120</f>
        <v>0</v>
      </c>
      <c r="D116" s="157">
        <f>D118+D120</f>
        <v>2615.5</v>
      </c>
      <c r="E116" s="157">
        <f t="shared" si="77"/>
        <v>412.9</v>
      </c>
      <c r="F116" s="157">
        <f t="shared" si="77"/>
        <v>1338.4</v>
      </c>
      <c r="G116" s="157">
        <f>G118+G120</f>
        <v>412.9</v>
      </c>
      <c r="H116" s="108">
        <f>G116/$G$204</f>
        <v>2E-3</v>
      </c>
      <c r="I116" s="153">
        <f t="shared" si="70"/>
        <v>1</v>
      </c>
      <c r="J116" s="109">
        <f t="shared" ref="J116:J125" si="78">G116-D116</f>
        <v>-2202.6</v>
      </c>
      <c r="K116" s="108">
        <f t="shared" ref="K116:K123" si="79">G116/D116</f>
        <v>0.158</v>
      </c>
      <c r="L116" s="107">
        <f t="shared" ref="L116:L123" si="80">G116-F116</f>
        <v>-925.5</v>
      </c>
    </row>
    <row r="117" spans="1:12">
      <c r="A117" s="16"/>
      <c r="B117" s="217" t="s">
        <v>219</v>
      </c>
      <c r="C117" s="143"/>
      <c r="D117" s="157"/>
      <c r="E117" s="157"/>
      <c r="F117" s="157"/>
      <c r="G117" s="157"/>
      <c r="H117" s="108"/>
      <c r="I117" s="153"/>
      <c r="J117" s="109"/>
      <c r="K117" s="108"/>
      <c r="L117" s="107"/>
    </row>
    <row r="118" spans="1:12" ht="27">
      <c r="A118" s="16"/>
      <c r="B118" s="39" t="s">
        <v>229</v>
      </c>
      <c r="C118" s="169">
        <v>0</v>
      </c>
      <c r="D118" s="157">
        <v>0</v>
      </c>
      <c r="E118" s="157">
        <v>0</v>
      </c>
      <c r="F118" s="157">
        <v>1338.4</v>
      </c>
      <c r="G118" s="157">
        <v>0</v>
      </c>
      <c r="H118" s="108">
        <f>G118/$G$204</f>
        <v>0</v>
      </c>
      <c r="I118" s="153" t="str">
        <f t="shared" si="70"/>
        <v>0,0%</v>
      </c>
      <c r="J118" s="109">
        <f t="shared" si="78"/>
        <v>0</v>
      </c>
      <c r="K118" s="108" t="str">
        <f>IF(G118=0,"0,0%", G118/D118)</f>
        <v>0,0%</v>
      </c>
      <c r="L118" s="107">
        <f t="shared" si="80"/>
        <v>-1338.4</v>
      </c>
    </row>
    <row r="119" spans="1:12" ht="40.5">
      <c r="A119" s="16"/>
      <c r="B119" s="39" t="s">
        <v>230</v>
      </c>
      <c r="C119" s="169">
        <f>C120</f>
        <v>0</v>
      </c>
      <c r="D119" s="157">
        <f t="shared" ref="D119:F119" si="81">D120</f>
        <v>2615.5</v>
      </c>
      <c r="E119" s="157">
        <v>412.9</v>
      </c>
      <c r="F119" s="157">
        <f t="shared" si="81"/>
        <v>0</v>
      </c>
      <c r="G119" s="157">
        <v>412.9</v>
      </c>
      <c r="H119" s="108">
        <f>G119/$G$204</f>
        <v>2E-3</v>
      </c>
      <c r="I119" s="153">
        <f t="shared" si="70"/>
        <v>1</v>
      </c>
      <c r="J119" s="109">
        <f t="shared" si="78"/>
        <v>-2202.6</v>
      </c>
      <c r="K119" s="108">
        <f>IF(G119=0,"0,0%", G119/D119)</f>
        <v>0.158</v>
      </c>
      <c r="L119" s="107">
        <f t="shared" si="80"/>
        <v>412.9</v>
      </c>
    </row>
    <row r="120" spans="1:12" ht="40.5">
      <c r="A120" s="16" t="s">
        <v>224</v>
      </c>
      <c r="B120" s="208" t="s">
        <v>104</v>
      </c>
      <c r="C120" s="169">
        <f>C122</f>
        <v>0</v>
      </c>
      <c r="D120" s="157">
        <f>D122</f>
        <v>2615.5</v>
      </c>
      <c r="E120" s="157">
        <f>E122</f>
        <v>412.9</v>
      </c>
      <c r="F120" s="157">
        <f>F122</f>
        <v>0</v>
      </c>
      <c r="G120" s="157">
        <f>G122</f>
        <v>412.9</v>
      </c>
      <c r="H120" s="108">
        <f>G120/$G$204</f>
        <v>2E-3</v>
      </c>
      <c r="I120" s="153">
        <f t="shared" si="70"/>
        <v>1</v>
      </c>
      <c r="J120" s="109">
        <f t="shared" si="78"/>
        <v>-2202.6</v>
      </c>
      <c r="K120" s="108">
        <f t="shared" si="79"/>
        <v>0.158</v>
      </c>
      <c r="L120" s="107">
        <f t="shared" si="80"/>
        <v>412.9</v>
      </c>
    </row>
    <row r="121" spans="1:12">
      <c r="A121" s="126"/>
      <c r="B121" s="219" t="s">
        <v>242</v>
      </c>
      <c r="C121" s="169"/>
      <c r="D121" s="157"/>
      <c r="E121" s="157"/>
      <c r="F121" s="157"/>
      <c r="G121" s="157"/>
      <c r="H121" s="108"/>
      <c r="I121" s="153"/>
      <c r="J121" s="109"/>
      <c r="K121" s="108"/>
      <c r="L121" s="107"/>
    </row>
    <row r="122" spans="1:12">
      <c r="A122" s="126"/>
      <c r="B122" s="127" t="s">
        <v>109</v>
      </c>
      <c r="C122" s="169">
        <v>0</v>
      </c>
      <c r="D122" s="157">
        <v>2615.5</v>
      </c>
      <c r="E122" s="157">
        <v>412.9</v>
      </c>
      <c r="F122" s="157">
        <v>0</v>
      </c>
      <c r="G122" s="157">
        <v>412.9</v>
      </c>
      <c r="H122" s="108">
        <f t="shared" ref="H122:H127" si="82">G122/$G$204</f>
        <v>2E-3</v>
      </c>
      <c r="I122" s="153">
        <f t="shared" si="70"/>
        <v>1</v>
      </c>
      <c r="J122" s="109">
        <f t="shared" si="78"/>
        <v>-2202.6</v>
      </c>
      <c r="K122" s="108">
        <f t="shared" si="79"/>
        <v>0.158</v>
      </c>
      <c r="L122" s="107">
        <f t="shared" si="80"/>
        <v>412.9</v>
      </c>
    </row>
    <row r="123" spans="1:12" ht="27">
      <c r="A123" s="210"/>
      <c r="B123" s="208" t="s">
        <v>249</v>
      </c>
      <c r="C123" s="143">
        <v>0</v>
      </c>
      <c r="D123" s="157">
        <v>3200</v>
      </c>
      <c r="E123" s="157">
        <v>0</v>
      </c>
      <c r="F123" s="157">
        <v>0</v>
      </c>
      <c r="G123" s="157">
        <v>0</v>
      </c>
      <c r="H123" s="108">
        <f t="shared" si="82"/>
        <v>0</v>
      </c>
      <c r="I123" s="153" t="str">
        <f t="shared" si="70"/>
        <v>0,0%</v>
      </c>
      <c r="J123" s="109">
        <f t="shared" si="78"/>
        <v>-3200</v>
      </c>
      <c r="K123" s="108">
        <f t="shared" si="79"/>
        <v>0</v>
      </c>
      <c r="L123" s="107">
        <f t="shared" si="80"/>
        <v>0</v>
      </c>
    </row>
    <row r="124" spans="1:12" ht="27">
      <c r="A124" s="16"/>
      <c r="B124" s="39" t="s">
        <v>201</v>
      </c>
      <c r="C124" s="169">
        <v>0</v>
      </c>
      <c r="D124" s="157">
        <v>0</v>
      </c>
      <c r="E124" s="157">
        <v>0</v>
      </c>
      <c r="F124" s="157">
        <v>8340</v>
      </c>
      <c r="G124" s="157">
        <v>0</v>
      </c>
      <c r="H124" s="108">
        <f t="shared" si="82"/>
        <v>0</v>
      </c>
      <c r="I124" s="153" t="str">
        <f t="shared" si="70"/>
        <v>0,0%</v>
      </c>
      <c r="J124" s="109">
        <f t="shared" si="78"/>
        <v>0</v>
      </c>
      <c r="K124" s="108" t="str">
        <f>IF(G124=0,"0,0%", G124/D124)</f>
        <v>0,0%</v>
      </c>
      <c r="L124" s="107">
        <f t="shared" ref="L124:L125" si="83">G124-F124</f>
        <v>-8340</v>
      </c>
    </row>
    <row r="125" spans="1:12" ht="27">
      <c r="A125" s="16" t="s">
        <v>222</v>
      </c>
      <c r="B125" s="39" t="s">
        <v>223</v>
      </c>
      <c r="C125" s="169">
        <v>0</v>
      </c>
      <c r="D125" s="157">
        <v>7296.9</v>
      </c>
      <c r="E125" s="157">
        <v>0</v>
      </c>
      <c r="F125" s="157">
        <v>1000</v>
      </c>
      <c r="G125" s="157">
        <v>0</v>
      </c>
      <c r="H125" s="108">
        <f t="shared" si="82"/>
        <v>0</v>
      </c>
      <c r="I125" s="153" t="str">
        <f t="shared" si="70"/>
        <v>0,0%</v>
      </c>
      <c r="J125" s="109">
        <f t="shared" si="78"/>
        <v>-7296.9</v>
      </c>
      <c r="K125" s="108">
        <f t="shared" ref="K125" si="84">G125/D125</f>
        <v>0</v>
      </c>
      <c r="L125" s="107">
        <f t="shared" si="83"/>
        <v>-1000</v>
      </c>
    </row>
    <row r="126" spans="1:12" ht="27">
      <c r="A126" s="16" t="s">
        <v>220</v>
      </c>
      <c r="B126" s="39" t="s">
        <v>221</v>
      </c>
      <c r="C126" s="169">
        <v>2564.1</v>
      </c>
      <c r="D126" s="157">
        <v>2564.1</v>
      </c>
      <c r="E126" s="157">
        <v>0</v>
      </c>
      <c r="F126" s="157">
        <v>0</v>
      </c>
      <c r="G126" s="157">
        <v>0</v>
      </c>
      <c r="H126" s="108">
        <f t="shared" si="82"/>
        <v>0</v>
      </c>
      <c r="I126" s="153" t="str">
        <f t="shared" si="70"/>
        <v>0,0%</v>
      </c>
      <c r="J126" s="109">
        <f t="shared" ref="J126:J127" si="85">G126-D126</f>
        <v>-2564.1</v>
      </c>
      <c r="K126" s="108">
        <f t="shared" ref="K126:K127" si="86">G126/D126</f>
        <v>0</v>
      </c>
      <c r="L126" s="107">
        <f t="shared" ref="L126:L127" si="87">G126-F126</f>
        <v>0</v>
      </c>
    </row>
    <row r="127" spans="1:12">
      <c r="A127" s="16" t="s">
        <v>166</v>
      </c>
      <c r="B127" s="10" t="s">
        <v>167</v>
      </c>
      <c r="C127" s="129">
        <v>0</v>
      </c>
      <c r="D127" s="207">
        <v>9.1999999999999993</v>
      </c>
      <c r="E127" s="207">
        <v>9.1999999999999993</v>
      </c>
      <c r="F127" s="207">
        <v>0</v>
      </c>
      <c r="G127" s="207">
        <v>9.1999999999999993</v>
      </c>
      <c r="H127" s="108">
        <f t="shared" si="82"/>
        <v>0</v>
      </c>
      <c r="I127" s="153">
        <f t="shared" si="70"/>
        <v>1</v>
      </c>
      <c r="J127" s="109">
        <f t="shared" si="85"/>
        <v>0</v>
      </c>
      <c r="K127" s="108">
        <f t="shared" si="86"/>
        <v>1</v>
      </c>
      <c r="L127" s="107">
        <f t="shared" si="87"/>
        <v>9.1999999999999993</v>
      </c>
    </row>
    <row r="128" spans="1:12" ht="13.5" hidden="1" customHeight="1">
      <c r="A128" s="16"/>
      <c r="B128" s="10" t="s">
        <v>27</v>
      </c>
      <c r="C128" s="172"/>
      <c r="D128" s="30"/>
      <c r="E128" s="7"/>
      <c r="F128" s="150"/>
      <c r="G128" s="7"/>
      <c r="H128" s="108"/>
      <c r="I128" s="108"/>
      <c r="J128" s="109"/>
      <c r="K128" s="108"/>
      <c r="L128" s="107"/>
    </row>
    <row r="129" spans="1:12" ht="13.5" hidden="1" customHeight="1">
      <c r="A129" s="16"/>
      <c r="B129" s="9" t="s">
        <v>101</v>
      </c>
      <c r="C129" s="129"/>
      <c r="D129" s="30"/>
      <c r="E129" s="7"/>
      <c r="F129" s="150"/>
      <c r="G129" s="7"/>
      <c r="H129" s="108">
        <f>G129/$G$204</f>
        <v>0</v>
      </c>
      <c r="I129" s="153" t="str">
        <f>IF(E129=0,"0,0%",G129/E129)</f>
        <v>0,0%</v>
      </c>
      <c r="J129" s="109">
        <f t="shared" ref="J129" si="88">G129-D129</f>
        <v>0</v>
      </c>
      <c r="K129" s="108" t="e">
        <f t="shared" ref="K129" si="89">G129/D129</f>
        <v>#DIV/0!</v>
      </c>
      <c r="L129" s="107">
        <f t="shared" ref="L129" si="90">G129-F129</f>
        <v>0</v>
      </c>
    </row>
    <row r="130" spans="1:12">
      <c r="A130" s="16" t="s">
        <v>43</v>
      </c>
      <c r="B130" s="10" t="s">
        <v>44</v>
      </c>
      <c r="C130" s="129">
        <f>C132+C133+C134+C135+C138+C139+C136</f>
        <v>117593.9</v>
      </c>
      <c r="D130" s="30">
        <f>D132+D133+D134+D135+D136+D137</f>
        <v>117622.3</v>
      </c>
      <c r="E130" s="30">
        <f>E132+E133+E134+E135+E136+E137</f>
        <v>38858</v>
      </c>
      <c r="F130" s="207">
        <f t="shared" ref="F130:G130" si="91">F132+F133+F134+F135+F136+F137</f>
        <v>45131.199999999997</v>
      </c>
      <c r="G130" s="30">
        <f t="shared" si="91"/>
        <v>38858</v>
      </c>
      <c r="H130" s="108">
        <f>G130/$G$204</f>
        <v>0.193</v>
      </c>
      <c r="I130" s="153">
        <f>IF(E130=0,"0,0%",G130/E130)</f>
        <v>1</v>
      </c>
      <c r="J130" s="109">
        <f t="shared" si="54"/>
        <v>-78764.3</v>
      </c>
      <c r="K130" s="108">
        <f t="shared" si="55"/>
        <v>0.33</v>
      </c>
      <c r="L130" s="107">
        <f t="shared" si="56"/>
        <v>-6273.2</v>
      </c>
    </row>
    <row r="131" spans="1:12">
      <c r="A131" s="16"/>
      <c r="B131" s="10" t="s">
        <v>27</v>
      </c>
      <c r="C131" s="172"/>
      <c r="D131" s="207"/>
      <c r="E131" s="150"/>
      <c r="F131" s="150"/>
      <c r="G131" s="150"/>
      <c r="H131" s="108"/>
      <c r="I131" s="108"/>
      <c r="J131" s="109"/>
      <c r="K131" s="108"/>
      <c r="L131" s="107"/>
    </row>
    <row r="132" spans="1:12">
      <c r="A132" s="16"/>
      <c r="B132" s="9" t="s">
        <v>101</v>
      </c>
      <c r="C132" s="129">
        <v>61342.6</v>
      </c>
      <c r="D132" s="207">
        <v>61342.6</v>
      </c>
      <c r="E132" s="150">
        <v>30896.7</v>
      </c>
      <c r="F132" s="150">
        <v>26548</v>
      </c>
      <c r="G132" s="150">
        <v>30896.7</v>
      </c>
      <c r="H132" s="108">
        <f t="shared" ref="H132:H138" si="92">G132/$G$204</f>
        <v>0.153</v>
      </c>
      <c r="I132" s="153">
        <f t="shared" ref="I132:I147" si="93">IF(E132=0,"0,0%",G132/E132)</f>
        <v>1</v>
      </c>
      <c r="J132" s="109">
        <f t="shared" si="54"/>
        <v>-30445.9</v>
      </c>
      <c r="K132" s="108">
        <f t="shared" ref="K132:K135" si="94">IF(G132=0,"0,0%",G132/D132)</f>
        <v>0.504</v>
      </c>
      <c r="L132" s="107">
        <f t="shared" si="56"/>
        <v>4348.7</v>
      </c>
    </row>
    <row r="133" spans="1:12">
      <c r="A133" s="16"/>
      <c r="B133" s="9" t="s">
        <v>102</v>
      </c>
      <c r="C133" s="129">
        <v>0</v>
      </c>
      <c r="D133" s="207">
        <v>0</v>
      </c>
      <c r="E133" s="150">
        <v>0</v>
      </c>
      <c r="F133" s="150">
        <v>9113.7000000000007</v>
      </c>
      <c r="G133" s="150">
        <v>0</v>
      </c>
      <c r="H133" s="108">
        <f t="shared" si="92"/>
        <v>0</v>
      </c>
      <c r="I133" s="153" t="str">
        <f t="shared" si="93"/>
        <v>0,0%</v>
      </c>
      <c r="J133" s="109">
        <f t="shared" si="54"/>
        <v>0</v>
      </c>
      <c r="K133" s="108" t="str">
        <f t="shared" si="94"/>
        <v>0,0%</v>
      </c>
      <c r="L133" s="107">
        <f t="shared" si="56"/>
        <v>-9113.7000000000007</v>
      </c>
    </row>
    <row r="134" spans="1:12">
      <c r="A134" s="16"/>
      <c r="B134" s="9" t="s">
        <v>103</v>
      </c>
      <c r="C134" s="129">
        <v>12013.8</v>
      </c>
      <c r="D134" s="207">
        <f>5532.8+3751.5</f>
        <v>9284.2999999999993</v>
      </c>
      <c r="E134" s="150">
        <v>400</v>
      </c>
      <c r="F134" s="150">
        <v>840</v>
      </c>
      <c r="G134" s="150">
        <v>400</v>
      </c>
      <c r="H134" s="108">
        <f t="shared" si="92"/>
        <v>2E-3</v>
      </c>
      <c r="I134" s="153">
        <f t="shared" si="93"/>
        <v>1</v>
      </c>
      <c r="J134" s="109">
        <f t="shared" si="54"/>
        <v>-8884.2999999999993</v>
      </c>
      <c r="K134" s="108">
        <f t="shared" si="94"/>
        <v>4.2999999999999997E-2</v>
      </c>
      <c r="L134" s="107">
        <f t="shared" si="56"/>
        <v>-440</v>
      </c>
    </row>
    <row r="135" spans="1:12">
      <c r="A135" s="16"/>
      <c r="B135" s="9" t="s">
        <v>227</v>
      </c>
      <c r="C135" s="129">
        <v>0</v>
      </c>
      <c r="D135" s="207">
        <v>66</v>
      </c>
      <c r="E135" s="150">
        <v>0</v>
      </c>
      <c r="F135" s="150">
        <v>8629.5</v>
      </c>
      <c r="G135" s="150">
        <v>0</v>
      </c>
      <c r="H135" s="108">
        <f t="shared" si="92"/>
        <v>0</v>
      </c>
      <c r="I135" s="153" t="str">
        <f t="shared" si="93"/>
        <v>0,0%</v>
      </c>
      <c r="J135" s="109">
        <f t="shared" si="54"/>
        <v>-66</v>
      </c>
      <c r="K135" s="108" t="str">
        <f t="shared" si="94"/>
        <v>0,0%</v>
      </c>
      <c r="L135" s="107">
        <f t="shared" si="56"/>
        <v>-8629.5</v>
      </c>
    </row>
    <row r="136" spans="1:12" ht="27">
      <c r="A136" s="16"/>
      <c r="B136" s="9" t="s">
        <v>228</v>
      </c>
      <c r="C136" s="129">
        <v>0</v>
      </c>
      <c r="D136" s="207">
        <v>2729.5</v>
      </c>
      <c r="E136" s="150">
        <v>1600</v>
      </c>
      <c r="F136" s="150">
        <v>0</v>
      </c>
      <c r="G136" s="150">
        <v>1600</v>
      </c>
      <c r="H136" s="108">
        <f t="shared" si="92"/>
        <v>8.0000000000000002E-3</v>
      </c>
      <c r="I136" s="153">
        <f t="shared" si="93"/>
        <v>1</v>
      </c>
      <c r="J136" s="109">
        <f t="shared" si="54"/>
        <v>-1129.5</v>
      </c>
      <c r="K136" s="108">
        <f t="shared" si="55"/>
        <v>0.58599999999999997</v>
      </c>
      <c r="L136" s="107">
        <f t="shared" si="56"/>
        <v>1600</v>
      </c>
    </row>
    <row r="137" spans="1:12" ht="40.5">
      <c r="A137" s="16"/>
      <c r="B137" s="208" t="s">
        <v>231</v>
      </c>
      <c r="C137" s="129">
        <f>C138+C139</f>
        <v>44237.5</v>
      </c>
      <c r="D137" s="207">
        <f>D138+D139</f>
        <v>44199.9</v>
      </c>
      <c r="E137" s="207">
        <f>E138+E139</f>
        <v>5961.3</v>
      </c>
      <c r="F137" s="207">
        <f>F138+F139</f>
        <v>0</v>
      </c>
      <c r="G137" s="207">
        <f>G138+G139</f>
        <v>5961.3</v>
      </c>
      <c r="H137" s="108">
        <f t="shared" si="92"/>
        <v>0.03</v>
      </c>
      <c r="I137" s="153">
        <f t="shared" si="93"/>
        <v>1</v>
      </c>
      <c r="J137" s="109">
        <f t="shared" si="54"/>
        <v>-38238.6</v>
      </c>
      <c r="K137" s="108">
        <f t="shared" si="55"/>
        <v>0.13500000000000001</v>
      </c>
      <c r="L137" s="107">
        <f t="shared" si="56"/>
        <v>5961.3</v>
      </c>
    </row>
    <row r="138" spans="1:12" ht="40.5">
      <c r="A138" s="17">
        <v>611</v>
      </c>
      <c r="B138" s="9" t="s">
        <v>104</v>
      </c>
      <c r="C138" s="129">
        <v>43237.5</v>
      </c>
      <c r="D138" s="207">
        <v>43237.5</v>
      </c>
      <c r="E138" s="207">
        <v>5811.2</v>
      </c>
      <c r="F138" s="207">
        <f t="shared" ref="F138" si="95">F141+F142+F143+F144+F145</f>
        <v>0</v>
      </c>
      <c r="G138" s="207">
        <v>5811.2</v>
      </c>
      <c r="H138" s="108">
        <f t="shared" si="92"/>
        <v>2.9000000000000001E-2</v>
      </c>
      <c r="I138" s="153">
        <f t="shared" si="93"/>
        <v>1</v>
      </c>
      <c r="J138" s="109">
        <f t="shared" si="54"/>
        <v>-37426.300000000003</v>
      </c>
      <c r="K138" s="108">
        <f t="shared" si="55"/>
        <v>0.13400000000000001</v>
      </c>
      <c r="L138" s="107">
        <f t="shared" si="56"/>
        <v>5811.2</v>
      </c>
    </row>
    <row r="139" spans="1:12">
      <c r="A139" s="17">
        <v>612</v>
      </c>
      <c r="B139" s="9" t="s">
        <v>105</v>
      </c>
      <c r="C139" s="129">
        <v>1000</v>
      </c>
      <c r="D139" s="207">
        <v>962.4</v>
      </c>
      <c r="E139" s="150">
        <v>150.1</v>
      </c>
      <c r="F139" s="150">
        <v>0</v>
      </c>
      <c r="G139" s="150">
        <v>150.1</v>
      </c>
      <c r="H139" s="108">
        <f>G139/$G$204</f>
        <v>1E-3</v>
      </c>
      <c r="I139" s="153">
        <f>IF(E139=0,"0,0%",G139/E139)</f>
        <v>1</v>
      </c>
      <c r="J139" s="109">
        <f>G139-D139</f>
        <v>-812.3</v>
      </c>
      <c r="K139" s="108">
        <f>G139/D139</f>
        <v>0.156</v>
      </c>
      <c r="L139" s="107">
        <f>G139-F139</f>
        <v>150.1</v>
      </c>
    </row>
    <row r="140" spans="1:12">
      <c r="A140" s="134"/>
      <c r="B140" s="135" t="s">
        <v>242</v>
      </c>
      <c r="C140" s="129"/>
      <c r="D140" s="207"/>
      <c r="E140" s="150"/>
      <c r="F140" s="150"/>
      <c r="G140" s="150"/>
      <c r="H140" s="108"/>
      <c r="I140" s="153"/>
      <c r="J140" s="109"/>
      <c r="K140" s="108"/>
      <c r="L140" s="107"/>
    </row>
    <row r="141" spans="1:12">
      <c r="A141" s="126"/>
      <c r="B141" s="127" t="s">
        <v>106</v>
      </c>
      <c r="C141" s="129">
        <v>23576.5</v>
      </c>
      <c r="D141" s="207">
        <v>23576.5</v>
      </c>
      <c r="E141" s="150">
        <v>5485</v>
      </c>
      <c r="F141" s="150">
        <v>0</v>
      </c>
      <c r="G141" s="150">
        <v>5485</v>
      </c>
      <c r="H141" s="108">
        <f t="shared" ref="H141:H147" si="96">G141/$G$204</f>
        <v>2.7E-2</v>
      </c>
      <c r="I141" s="153">
        <f t="shared" si="93"/>
        <v>1</v>
      </c>
      <c r="J141" s="109">
        <f t="shared" si="54"/>
        <v>-18091.5</v>
      </c>
      <c r="K141" s="108">
        <f t="shared" si="55"/>
        <v>0.23300000000000001</v>
      </c>
      <c r="L141" s="107">
        <f t="shared" si="56"/>
        <v>5485</v>
      </c>
    </row>
    <row r="142" spans="1:12">
      <c r="A142" s="126"/>
      <c r="B142" s="127" t="s">
        <v>189</v>
      </c>
      <c r="C142" s="129">
        <v>13.9</v>
      </c>
      <c r="D142" s="207">
        <v>13.9</v>
      </c>
      <c r="E142" s="150">
        <v>0</v>
      </c>
      <c r="F142" s="150">
        <v>0</v>
      </c>
      <c r="G142" s="150">
        <v>0</v>
      </c>
      <c r="H142" s="108">
        <f t="shared" si="96"/>
        <v>0</v>
      </c>
      <c r="I142" s="153" t="str">
        <f t="shared" si="93"/>
        <v>0,0%</v>
      </c>
      <c r="J142" s="109">
        <f t="shared" si="54"/>
        <v>-13.9</v>
      </c>
      <c r="K142" s="108">
        <f t="shared" si="55"/>
        <v>0</v>
      </c>
      <c r="L142" s="107">
        <f t="shared" si="56"/>
        <v>0</v>
      </c>
    </row>
    <row r="143" spans="1:12">
      <c r="A143" s="126"/>
      <c r="B143" s="127" t="s">
        <v>109</v>
      </c>
      <c r="C143" s="129">
        <v>861.4</v>
      </c>
      <c r="D143" s="207">
        <v>1016.2</v>
      </c>
      <c r="E143" s="150">
        <v>237.9</v>
      </c>
      <c r="F143" s="150">
        <v>0</v>
      </c>
      <c r="G143" s="150">
        <v>237.9</v>
      </c>
      <c r="H143" s="108">
        <f t="shared" si="96"/>
        <v>1E-3</v>
      </c>
      <c r="I143" s="153">
        <f t="shared" si="93"/>
        <v>1</v>
      </c>
      <c r="J143" s="109">
        <f t="shared" si="54"/>
        <v>-778.3</v>
      </c>
      <c r="K143" s="108">
        <f t="shared" si="55"/>
        <v>0.23400000000000001</v>
      </c>
      <c r="L143" s="107">
        <f t="shared" si="56"/>
        <v>237.9</v>
      </c>
    </row>
    <row r="144" spans="1:12">
      <c r="A144" s="126"/>
      <c r="B144" s="127" t="s">
        <v>187</v>
      </c>
      <c r="C144" s="129">
        <v>37.299999999999997</v>
      </c>
      <c r="D144" s="207">
        <v>37.299999999999997</v>
      </c>
      <c r="E144" s="150">
        <v>0</v>
      </c>
      <c r="F144" s="150">
        <v>0</v>
      </c>
      <c r="G144" s="150">
        <v>0</v>
      </c>
      <c r="H144" s="108">
        <f t="shared" si="96"/>
        <v>0</v>
      </c>
      <c r="I144" s="153" t="str">
        <f t="shared" si="93"/>
        <v>0,0%</v>
      </c>
      <c r="J144" s="109">
        <f t="shared" si="54"/>
        <v>-37.299999999999997</v>
      </c>
      <c r="K144" s="108">
        <f t="shared" si="55"/>
        <v>0</v>
      </c>
      <c r="L144" s="107">
        <f t="shared" si="56"/>
        <v>0</v>
      </c>
    </row>
    <row r="145" spans="1:12">
      <c r="A145" s="126"/>
      <c r="B145" s="127" t="s">
        <v>188</v>
      </c>
      <c r="C145" s="129">
        <f>18748.4+1000</f>
        <v>19748.400000000001</v>
      </c>
      <c r="D145" s="207">
        <v>19556</v>
      </c>
      <c r="E145" s="150">
        <v>238.4</v>
      </c>
      <c r="F145" s="150">
        <v>0</v>
      </c>
      <c r="G145" s="150">
        <v>238.4</v>
      </c>
      <c r="H145" s="108">
        <f t="shared" si="96"/>
        <v>1E-3</v>
      </c>
      <c r="I145" s="153">
        <f t="shared" si="93"/>
        <v>1</v>
      </c>
      <c r="J145" s="109">
        <f t="shared" si="54"/>
        <v>-19317.599999999999</v>
      </c>
      <c r="K145" s="108">
        <f t="shared" si="55"/>
        <v>1.2E-2</v>
      </c>
      <c r="L145" s="107">
        <f t="shared" si="56"/>
        <v>238.4</v>
      </c>
    </row>
    <row r="146" spans="1:12" s="1" customFormat="1" ht="27">
      <c r="A146" s="16" t="s">
        <v>58</v>
      </c>
      <c r="B146" s="9" t="s">
        <v>59</v>
      </c>
      <c r="C146" s="129">
        <v>1006.5</v>
      </c>
      <c r="D146" s="207">
        <v>1006.5</v>
      </c>
      <c r="E146" s="150">
        <v>395.5</v>
      </c>
      <c r="F146" s="150">
        <f>F147</f>
        <v>402.6</v>
      </c>
      <c r="G146" s="150">
        <v>395.5</v>
      </c>
      <c r="H146" s="108">
        <f t="shared" si="96"/>
        <v>2E-3</v>
      </c>
      <c r="I146" s="153">
        <f t="shared" si="93"/>
        <v>1</v>
      </c>
      <c r="J146" s="109">
        <f t="shared" si="54"/>
        <v>-611</v>
      </c>
      <c r="K146" s="108">
        <f t="shared" si="55"/>
        <v>0.39300000000000002</v>
      </c>
      <c r="L146" s="107">
        <f t="shared" si="56"/>
        <v>-7.1</v>
      </c>
    </row>
    <row r="147" spans="1:12" s="1" customFormat="1">
      <c r="A147" s="16"/>
      <c r="B147" s="9" t="s">
        <v>202</v>
      </c>
      <c r="C147" s="129">
        <v>1006.5</v>
      </c>
      <c r="D147" s="207">
        <v>1006.5</v>
      </c>
      <c r="E147" s="150">
        <v>395.5</v>
      </c>
      <c r="F147" s="150">
        <v>402.6</v>
      </c>
      <c r="G147" s="150">
        <v>395.5</v>
      </c>
      <c r="H147" s="108">
        <f t="shared" si="96"/>
        <v>2E-3</v>
      </c>
      <c r="I147" s="153">
        <f t="shared" si="93"/>
        <v>1</v>
      </c>
      <c r="J147" s="109">
        <f t="shared" ref="J147" si="97">G147-D147</f>
        <v>-611</v>
      </c>
      <c r="K147" s="108">
        <f t="shared" ref="K147" si="98">G147/D147</f>
        <v>0.39300000000000002</v>
      </c>
      <c r="L147" s="107">
        <f t="shared" ref="L147" si="99">G147-F147</f>
        <v>-7.1</v>
      </c>
    </row>
    <row r="148" spans="1:12" s="1" customFormat="1" hidden="1">
      <c r="A148" s="16"/>
      <c r="B148" s="9" t="s">
        <v>206</v>
      </c>
      <c r="C148" s="129">
        <v>0</v>
      </c>
      <c r="D148" s="30">
        <v>0</v>
      </c>
      <c r="E148" s="7">
        <v>0</v>
      </c>
      <c r="F148" s="7">
        <v>0</v>
      </c>
      <c r="G148" s="7">
        <v>0</v>
      </c>
      <c r="H148" s="108">
        <f t="shared" ref="H148" si="100">G148/$G$204</f>
        <v>0</v>
      </c>
      <c r="I148" s="153" t="str">
        <f t="shared" ref="I148" si="101">IF(E148=0,"0,0%",G148/E148)</f>
        <v>0,0%</v>
      </c>
      <c r="J148" s="109">
        <f t="shared" ref="J148" si="102">G148-D148</f>
        <v>0</v>
      </c>
      <c r="K148" s="108">
        <v>0</v>
      </c>
      <c r="L148" s="107">
        <f t="shared" ref="L148" si="103">G148-F148</f>
        <v>0</v>
      </c>
    </row>
    <row r="149" spans="1:12">
      <c r="A149" s="134"/>
      <c r="B149" s="135" t="s">
        <v>143</v>
      </c>
      <c r="C149" s="135"/>
      <c r="D149" s="136"/>
      <c r="E149" s="136"/>
      <c r="F149" s="136"/>
      <c r="G149" s="136"/>
      <c r="H149" s="108"/>
      <c r="I149" s="108"/>
      <c r="J149" s="109"/>
      <c r="K149" s="108"/>
      <c r="L149" s="107"/>
    </row>
    <row r="150" spans="1:12">
      <c r="A150" s="126"/>
      <c r="B150" s="127" t="s">
        <v>106</v>
      </c>
      <c r="C150" s="128">
        <f>C141</f>
        <v>23576.5</v>
      </c>
      <c r="D150" s="128">
        <f>D141</f>
        <v>23576.5</v>
      </c>
      <c r="E150" s="128">
        <f>E141</f>
        <v>5485</v>
      </c>
      <c r="F150" s="128">
        <f t="shared" ref="F150:G150" si="104">F141</f>
        <v>0</v>
      </c>
      <c r="G150" s="128">
        <f t="shared" si="104"/>
        <v>5485</v>
      </c>
      <c r="H150" s="108">
        <f t="shared" ref="H150:H155" si="105">G150/$G$204</f>
        <v>2.7E-2</v>
      </c>
      <c r="I150" s="153">
        <f t="shared" ref="I150:I155" si="106">IF(E150=0,"0,0%",G150/E150)</f>
        <v>1</v>
      </c>
      <c r="J150" s="109">
        <f>G150-D150</f>
        <v>-18091.5</v>
      </c>
      <c r="K150" s="108">
        <v>0</v>
      </c>
      <c r="L150" s="107">
        <f>G150-F150</f>
        <v>5485</v>
      </c>
    </row>
    <row r="151" spans="1:12" s="180" customFormat="1" ht="13.5" hidden="1" customHeight="1">
      <c r="A151" s="182"/>
      <c r="B151" s="183" t="s">
        <v>153</v>
      </c>
      <c r="C151" s="184"/>
      <c r="D151" s="184"/>
      <c r="E151" s="184"/>
      <c r="F151" s="184">
        <v>0</v>
      </c>
      <c r="G151" s="184">
        <v>0</v>
      </c>
      <c r="H151" s="177">
        <f t="shared" si="105"/>
        <v>0</v>
      </c>
      <c r="I151" s="181" t="str">
        <f>IF(E151=0,"0,0%",G151/E151)</f>
        <v>0,0%</v>
      </c>
      <c r="J151" s="178">
        <f>G151-D151</f>
        <v>0</v>
      </c>
      <c r="K151" s="177" t="e">
        <f>G151/D151</f>
        <v>#DIV/0!</v>
      </c>
      <c r="L151" s="179">
        <f>G151-F151</f>
        <v>0</v>
      </c>
    </row>
    <row r="152" spans="1:12">
      <c r="A152" s="126"/>
      <c r="B152" s="144" t="s">
        <v>164</v>
      </c>
      <c r="C152" s="129">
        <v>69604.899999999994</v>
      </c>
      <c r="D152" s="129">
        <v>82490.5</v>
      </c>
      <c r="E152" s="129">
        <v>32955.300000000003</v>
      </c>
      <c r="F152" s="129">
        <v>47469.5</v>
      </c>
      <c r="G152" s="129">
        <v>32955.300000000003</v>
      </c>
      <c r="H152" s="108">
        <f t="shared" si="105"/>
        <v>0.16400000000000001</v>
      </c>
      <c r="I152" s="153">
        <f t="shared" si="106"/>
        <v>1</v>
      </c>
      <c r="J152" s="109">
        <f>G152-D152</f>
        <v>-49535.199999999997</v>
      </c>
      <c r="K152" s="108">
        <f>G152/D152</f>
        <v>0.4</v>
      </c>
      <c r="L152" s="107">
        <f>G152-F152</f>
        <v>-14514.2</v>
      </c>
    </row>
    <row r="153" spans="1:12" s="27" customFormat="1">
      <c r="A153" s="94" t="s">
        <v>118</v>
      </c>
      <c r="B153" s="102" t="s">
        <v>117</v>
      </c>
      <c r="C153" s="96">
        <f>C154</f>
        <v>11391</v>
      </c>
      <c r="D153" s="96">
        <f>D154</f>
        <v>11391</v>
      </c>
      <c r="E153" s="96">
        <f>E154</f>
        <v>3737.4</v>
      </c>
      <c r="F153" s="96">
        <f>F154</f>
        <v>5624.1</v>
      </c>
      <c r="G153" s="96">
        <f>G154</f>
        <v>3737.4</v>
      </c>
      <c r="H153" s="97">
        <f t="shared" si="105"/>
        <v>1.9E-2</v>
      </c>
      <c r="I153" s="153">
        <f t="shared" si="106"/>
        <v>1</v>
      </c>
      <c r="J153" s="98">
        <f t="shared" si="54"/>
        <v>-7653.6</v>
      </c>
      <c r="K153" s="97">
        <f t="shared" si="55"/>
        <v>0.32800000000000001</v>
      </c>
      <c r="L153" s="99">
        <f t="shared" si="56"/>
        <v>-1886.7</v>
      </c>
    </row>
    <row r="154" spans="1:12" s="48" customFormat="1">
      <c r="A154" s="131" t="s">
        <v>45</v>
      </c>
      <c r="B154" s="132" t="s">
        <v>53</v>
      </c>
      <c r="C154" s="123">
        <f>C155+C156+C166</f>
        <v>11391</v>
      </c>
      <c r="D154" s="123">
        <f>D155+D156+D166</f>
        <v>11391</v>
      </c>
      <c r="E154" s="123">
        <f t="shared" ref="E154:G154" si="107">E155+E156+E166</f>
        <v>3737.4</v>
      </c>
      <c r="F154" s="123">
        <f t="shared" si="107"/>
        <v>5624.1</v>
      </c>
      <c r="G154" s="123">
        <f t="shared" si="107"/>
        <v>3737.4</v>
      </c>
      <c r="H154" s="108">
        <f t="shared" si="105"/>
        <v>1.9E-2</v>
      </c>
      <c r="I154" s="153">
        <f t="shared" si="106"/>
        <v>1</v>
      </c>
      <c r="J154" s="109">
        <f t="shared" si="54"/>
        <v>-7653.6</v>
      </c>
      <c r="K154" s="108">
        <f t="shared" si="55"/>
        <v>0.32800000000000001</v>
      </c>
      <c r="L154" s="107">
        <f t="shared" si="56"/>
        <v>-1886.7</v>
      </c>
    </row>
    <row r="155" spans="1:12" ht="40.5">
      <c r="A155" s="17">
        <v>611</v>
      </c>
      <c r="B155" s="9" t="s">
        <v>104</v>
      </c>
      <c r="C155" s="128">
        <v>10391</v>
      </c>
      <c r="D155" s="150">
        <v>10275.5</v>
      </c>
      <c r="E155" s="150">
        <v>3589.9</v>
      </c>
      <c r="F155" s="150">
        <v>5231.8999999999996</v>
      </c>
      <c r="G155" s="150">
        <v>3589.9</v>
      </c>
      <c r="H155" s="108">
        <f t="shared" si="105"/>
        <v>1.7999999999999999E-2</v>
      </c>
      <c r="I155" s="153">
        <f t="shared" si="106"/>
        <v>1</v>
      </c>
      <c r="J155" s="109">
        <f>G155-D155</f>
        <v>-6685.6</v>
      </c>
      <c r="K155" s="108">
        <f t="shared" si="55"/>
        <v>0.34899999999999998</v>
      </c>
      <c r="L155" s="107">
        <f>G155-F155</f>
        <v>-1642</v>
      </c>
    </row>
    <row r="156" spans="1:12">
      <c r="A156" s="17">
        <v>612</v>
      </c>
      <c r="B156" s="9" t="s">
        <v>247</v>
      </c>
      <c r="C156" s="128">
        <v>0</v>
      </c>
      <c r="D156" s="150">
        <v>115.5</v>
      </c>
      <c r="E156" s="150">
        <v>115.5</v>
      </c>
      <c r="F156" s="150">
        <v>100.9</v>
      </c>
      <c r="G156" s="150">
        <v>115.5</v>
      </c>
      <c r="H156" s="108"/>
      <c r="I156" s="153"/>
      <c r="J156" s="109"/>
      <c r="K156" s="108"/>
      <c r="L156" s="107"/>
    </row>
    <row r="157" spans="1:12">
      <c r="A157" s="134"/>
      <c r="B157" s="135" t="s">
        <v>250</v>
      </c>
      <c r="C157" s="209"/>
      <c r="D157" s="150"/>
      <c r="E157" s="150"/>
      <c r="F157" s="150"/>
      <c r="G157" s="150"/>
      <c r="H157" s="108"/>
      <c r="I157" s="108"/>
      <c r="J157" s="109"/>
      <c r="K157" s="108"/>
      <c r="L157" s="107"/>
    </row>
    <row r="158" spans="1:12">
      <c r="A158" s="126"/>
      <c r="B158" s="127" t="s">
        <v>106</v>
      </c>
      <c r="C158" s="128">
        <v>8619</v>
      </c>
      <c r="D158" s="150">
        <v>8619</v>
      </c>
      <c r="E158" s="150">
        <v>3304.5</v>
      </c>
      <c r="F158" s="150">
        <v>4974.3</v>
      </c>
      <c r="G158" s="150">
        <v>3304.5</v>
      </c>
      <c r="H158" s="108">
        <f t="shared" ref="H158:H163" si="108">G158/$G$204</f>
        <v>1.6E-2</v>
      </c>
      <c r="I158" s="153">
        <f t="shared" ref="I158:I170" si="109">IF(E158=0,"0,0%",G158/E158)</f>
        <v>1</v>
      </c>
      <c r="J158" s="109">
        <f>G158-D158</f>
        <v>-5314.5</v>
      </c>
      <c r="K158" s="108">
        <f>G158/D158</f>
        <v>0.38300000000000001</v>
      </c>
      <c r="L158" s="107">
        <f>G158-F158</f>
        <v>-1669.8</v>
      </c>
    </row>
    <row r="159" spans="1:12">
      <c r="A159" s="126"/>
      <c r="B159" s="127" t="s">
        <v>189</v>
      </c>
      <c r="C159" s="128">
        <v>141.6</v>
      </c>
      <c r="D159" s="150">
        <v>141.6</v>
      </c>
      <c r="E159" s="150">
        <v>28.1</v>
      </c>
      <c r="F159" s="150">
        <v>27.5</v>
      </c>
      <c r="G159" s="150">
        <v>28.1</v>
      </c>
      <c r="H159" s="108">
        <f t="shared" si="108"/>
        <v>0</v>
      </c>
      <c r="I159" s="153">
        <f t="shared" si="109"/>
        <v>1</v>
      </c>
      <c r="J159" s="109">
        <f>G159-D159</f>
        <v>-113.5</v>
      </c>
      <c r="K159" s="108">
        <f>G159/D159</f>
        <v>0.19800000000000001</v>
      </c>
      <c r="L159" s="107">
        <f>G159-F159</f>
        <v>0.6</v>
      </c>
    </row>
    <row r="160" spans="1:12">
      <c r="A160" s="126"/>
      <c r="B160" s="127" t="s">
        <v>109</v>
      </c>
      <c r="C160" s="128">
        <v>1072.0999999999999</v>
      </c>
      <c r="D160" s="150">
        <v>1072.0999999999999</v>
      </c>
      <c r="E160" s="150">
        <v>331.6</v>
      </c>
      <c r="F160" s="150">
        <v>240.8</v>
      </c>
      <c r="G160" s="150">
        <v>331.6</v>
      </c>
      <c r="H160" s="108">
        <f t="shared" si="108"/>
        <v>2E-3</v>
      </c>
      <c r="I160" s="153">
        <f t="shared" si="109"/>
        <v>1</v>
      </c>
      <c r="J160" s="109">
        <f>G160-D160</f>
        <v>-740.5</v>
      </c>
      <c r="K160" s="108">
        <f>G160/D160</f>
        <v>0.309</v>
      </c>
      <c r="L160" s="107">
        <f>G160-F160</f>
        <v>90.8</v>
      </c>
    </row>
    <row r="161" spans="1:12">
      <c r="A161" s="126"/>
      <c r="B161" s="127" t="s">
        <v>187</v>
      </c>
      <c r="C161" s="128">
        <v>95</v>
      </c>
      <c r="D161" s="150">
        <v>95</v>
      </c>
      <c r="E161" s="150">
        <v>0</v>
      </c>
      <c r="F161" s="150">
        <v>16.3</v>
      </c>
      <c r="G161" s="150">
        <v>0</v>
      </c>
      <c r="H161" s="108">
        <f t="shared" si="108"/>
        <v>0</v>
      </c>
      <c r="I161" s="153" t="str">
        <f t="shared" si="109"/>
        <v>0,0%</v>
      </c>
      <c r="J161" s="109">
        <f>G161-D161</f>
        <v>-95</v>
      </c>
      <c r="K161" s="108">
        <f t="shared" ref="K161" si="110">G161/D161</f>
        <v>0</v>
      </c>
      <c r="L161" s="107">
        <f t="shared" ref="L161:L162" si="111">G161-F161</f>
        <v>-16.3</v>
      </c>
    </row>
    <row r="162" spans="1:12">
      <c r="A162" s="126"/>
      <c r="B162" s="127" t="s">
        <v>188</v>
      </c>
      <c r="C162" s="128">
        <v>463.3</v>
      </c>
      <c r="D162" s="150">
        <v>463.3</v>
      </c>
      <c r="E162" s="150">
        <f>41.1+0.1</f>
        <v>41.2</v>
      </c>
      <c r="F162" s="150">
        <v>73.900000000000006</v>
      </c>
      <c r="G162" s="150">
        <f>41.1+0.1</f>
        <v>41.2</v>
      </c>
      <c r="H162" s="108">
        <f t="shared" si="108"/>
        <v>0</v>
      </c>
      <c r="I162" s="153">
        <f t="shared" si="109"/>
        <v>1</v>
      </c>
      <c r="J162" s="109">
        <f t="shared" ref="J162" si="112">G162-D162</f>
        <v>-422.1</v>
      </c>
      <c r="K162" s="108">
        <f>G162/D162</f>
        <v>8.8999999999999996E-2</v>
      </c>
      <c r="L162" s="107">
        <f t="shared" si="111"/>
        <v>-32.700000000000003</v>
      </c>
    </row>
    <row r="163" spans="1:12" hidden="1">
      <c r="A163" s="17">
        <v>612</v>
      </c>
      <c r="B163" s="9" t="s">
        <v>105</v>
      </c>
      <c r="C163" s="128"/>
      <c r="D163" s="150"/>
      <c r="E163" s="150"/>
      <c r="F163" s="150"/>
      <c r="G163" s="150"/>
      <c r="H163" s="108">
        <f t="shared" si="108"/>
        <v>0</v>
      </c>
      <c r="I163" s="153" t="str">
        <f>IF(E163=0,"0,0%",G163/E163)</f>
        <v>0,0%</v>
      </c>
      <c r="J163" s="109">
        <f>G163-D163</f>
        <v>0</v>
      </c>
      <c r="K163" s="108" t="e">
        <f>G163/D163</f>
        <v>#DIV/0!</v>
      </c>
      <c r="L163" s="107">
        <f>G163-F163</f>
        <v>0</v>
      </c>
    </row>
    <row r="164" spans="1:12" hidden="1">
      <c r="A164" s="210"/>
      <c r="B164" s="211" t="s">
        <v>27</v>
      </c>
      <c r="C164" s="129"/>
      <c r="D164" s="207"/>
      <c r="E164" s="207"/>
      <c r="F164" s="207"/>
      <c r="G164" s="207"/>
      <c r="H164" s="108"/>
      <c r="I164" s="153"/>
      <c r="J164" s="109"/>
      <c r="K164" s="108"/>
      <c r="L164" s="107"/>
    </row>
    <row r="165" spans="1:12" ht="27" hidden="1">
      <c r="A165" s="210"/>
      <c r="B165" s="211" t="s">
        <v>196</v>
      </c>
      <c r="C165" s="129"/>
      <c r="D165" s="207"/>
      <c r="E165" s="207"/>
      <c r="F165" s="207"/>
      <c r="G165" s="207"/>
      <c r="H165" s="108">
        <f>G165/$G$204</f>
        <v>0</v>
      </c>
      <c r="I165" s="153" t="str">
        <f>IF(E165=0,"0,0%",G165/E165)</f>
        <v>0,0%</v>
      </c>
      <c r="J165" s="109">
        <f>G165-D165</f>
        <v>0</v>
      </c>
      <c r="K165" s="108" t="e">
        <f>G165/D165</f>
        <v>#DIV/0!</v>
      </c>
      <c r="L165" s="107">
        <f>G165-F165</f>
        <v>0</v>
      </c>
    </row>
    <row r="166" spans="1:12" ht="54">
      <c r="A166" s="210" t="s">
        <v>195</v>
      </c>
      <c r="B166" s="211" t="s">
        <v>190</v>
      </c>
      <c r="C166" s="129">
        <v>1000</v>
      </c>
      <c r="D166" s="207">
        <v>1000</v>
      </c>
      <c r="E166" s="207">
        <v>32</v>
      </c>
      <c r="F166" s="207">
        <v>291.3</v>
      </c>
      <c r="G166" s="207">
        <v>32</v>
      </c>
      <c r="H166" s="108">
        <f>G166/$G$204</f>
        <v>0</v>
      </c>
      <c r="I166" s="153">
        <f>IF(E166=0,"0,0%",G166/E166)</f>
        <v>1</v>
      </c>
      <c r="J166" s="109">
        <f>G166-D166</f>
        <v>-968</v>
      </c>
      <c r="K166" s="108">
        <f>G166/D166</f>
        <v>3.2000000000000001E-2</v>
      </c>
      <c r="L166" s="107">
        <f>G166-F166</f>
        <v>-259.3</v>
      </c>
    </row>
    <row r="167" spans="1:12" s="27" customFormat="1">
      <c r="A167" s="94" t="s">
        <v>62</v>
      </c>
      <c r="B167" s="100" t="s">
        <v>107</v>
      </c>
      <c r="C167" s="96">
        <f>C168</f>
        <v>58737.9</v>
      </c>
      <c r="D167" s="201">
        <f>D168</f>
        <v>62330.6</v>
      </c>
      <c r="E167" s="96">
        <f>E168</f>
        <v>26643.7</v>
      </c>
      <c r="F167" s="96">
        <f>F168</f>
        <v>30548.2</v>
      </c>
      <c r="G167" s="96">
        <f>G168</f>
        <v>26643.7</v>
      </c>
      <c r="H167" s="97">
        <f>G167/$G$204</f>
        <v>0.13200000000000001</v>
      </c>
      <c r="I167" s="153">
        <f t="shared" si="109"/>
        <v>1</v>
      </c>
      <c r="J167" s="98">
        <f t="shared" si="54"/>
        <v>-35686.9</v>
      </c>
      <c r="K167" s="97">
        <f>G167/D167</f>
        <v>0.42699999999999999</v>
      </c>
      <c r="L167" s="99">
        <f t="shared" si="56"/>
        <v>-3904.5</v>
      </c>
    </row>
    <row r="168" spans="1:12" s="48" customFormat="1">
      <c r="A168" s="131" t="s">
        <v>64</v>
      </c>
      <c r="B168" s="132" t="s">
        <v>63</v>
      </c>
      <c r="C168" s="133">
        <f>C169+C171+C181</f>
        <v>58737.9</v>
      </c>
      <c r="D168" s="133">
        <f t="shared" ref="D168:G168" si="113">D169+D171+D181</f>
        <v>62330.6</v>
      </c>
      <c r="E168" s="133">
        <f t="shared" si="113"/>
        <v>26643.7</v>
      </c>
      <c r="F168" s="133">
        <f t="shared" si="113"/>
        <v>30548.2</v>
      </c>
      <c r="G168" s="133">
        <f t="shared" si="113"/>
        <v>26643.7</v>
      </c>
      <c r="H168" s="108">
        <f>G168/$G$204</f>
        <v>0.13200000000000001</v>
      </c>
      <c r="I168" s="153">
        <f t="shared" si="109"/>
        <v>1</v>
      </c>
      <c r="J168" s="109">
        <f t="shared" ref="J168:J201" si="114">G168-D168</f>
        <v>-35686.9</v>
      </c>
      <c r="K168" s="108">
        <f t="shared" ref="K168:K201" si="115">G168/D168</f>
        <v>0.42699999999999999</v>
      </c>
      <c r="L168" s="107">
        <f t="shared" ref="L168:L201" si="116">G168-F168</f>
        <v>-3904.5</v>
      </c>
    </row>
    <row r="169" spans="1:12" ht="45" customHeight="1">
      <c r="A169" s="17">
        <v>611</v>
      </c>
      <c r="B169" s="9" t="s">
        <v>104</v>
      </c>
      <c r="C169" s="128">
        <f>SUM(C173:C177)</f>
        <v>58737.9</v>
      </c>
      <c r="D169" s="150">
        <v>57077.2</v>
      </c>
      <c r="E169" s="150">
        <v>24166.6</v>
      </c>
      <c r="F169" s="150">
        <v>29470.9</v>
      </c>
      <c r="G169" s="150">
        <v>24166.6</v>
      </c>
      <c r="H169" s="108">
        <f>G169/$G$204</f>
        <v>0.12</v>
      </c>
      <c r="I169" s="153">
        <f t="shared" si="109"/>
        <v>1</v>
      </c>
      <c r="J169" s="109">
        <f t="shared" si="114"/>
        <v>-32910.6</v>
      </c>
      <c r="K169" s="108">
        <f t="shared" si="115"/>
        <v>0.42299999999999999</v>
      </c>
      <c r="L169" s="107">
        <f t="shared" si="116"/>
        <v>-5304.3</v>
      </c>
    </row>
    <row r="170" spans="1:12" ht="13.5" hidden="1" customHeight="1">
      <c r="A170" s="17"/>
      <c r="B170" s="10" t="s">
        <v>108</v>
      </c>
      <c r="C170" s="128"/>
      <c r="D170" s="7"/>
      <c r="E170" s="7"/>
      <c r="F170" s="150"/>
      <c r="G170" s="7"/>
      <c r="H170" s="108">
        <f t="shared" ref="H170" si="117">G170/$G$204</f>
        <v>0</v>
      </c>
      <c r="I170" s="153" t="str">
        <f t="shared" si="109"/>
        <v>0,0%</v>
      </c>
      <c r="J170" s="109"/>
      <c r="K170" s="108"/>
      <c r="L170" s="107"/>
    </row>
    <row r="171" spans="1:12" ht="13.5" customHeight="1">
      <c r="A171" s="17">
        <v>612</v>
      </c>
      <c r="B171" s="10" t="s">
        <v>105</v>
      </c>
      <c r="C171" s="128">
        <v>0</v>
      </c>
      <c r="D171" s="7">
        <v>1660.7</v>
      </c>
      <c r="E171" s="7">
        <v>1660.7</v>
      </c>
      <c r="F171" s="150">
        <v>435.4</v>
      </c>
      <c r="G171" s="7">
        <v>1660.7</v>
      </c>
      <c r="H171" s="108">
        <f>G171/$G$204</f>
        <v>8.0000000000000002E-3</v>
      </c>
      <c r="I171" s="153">
        <f>IF(E171=0,"0,0%",G171/E171)</f>
        <v>1</v>
      </c>
      <c r="J171" s="109">
        <f>G171-D171</f>
        <v>0</v>
      </c>
      <c r="K171" s="108">
        <f>G171/D171</f>
        <v>1</v>
      </c>
      <c r="L171" s="107">
        <f>G171-F171</f>
        <v>1225.3</v>
      </c>
    </row>
    <row r="172" spans="1:12">
      <c r="A172" s="134"/>
      <c r="B172" s="135" t="s">
        <v>27</v>
      </c>
      <c r="C172" s="135"/>
      <c r="D172" s="150"/>
      <c r="E172" s="150"/>
      <c r="F172" s="150"/>
      <c r="G172" s="150"/>
      <c r="H172" s="108"/>
      <c r="I172" s="153"/>
      <c r="J172" s="109"/>
      <c r="K172" s="108"/>
      <c r="L172" s="107"/>
    </row>
    <row r="173" spans="1:12">
      <c r="A173" s="134"/>
      <c r="B173" s="127" t="s">
        <v>106</v>
      </c>
      <c r="C173" s="128">
        <v>49583.4</v>
      </c>
      <c r="D173" s="150">
        <v>49580.1</v>
      </c>
      <c r="E173" s="150">
        <v>22061.8</v>
      </c>
      <c r="F173" s="150">
        <v>27076.400000000001</v>
      </c>
      <c r="G173" s="150">
        <v>22061.8</v>
      </c>
      <c r="H173" s="108">
        <f t="shared" ref="H173:H178" si="118">G173/$G$204</f>
        <v>0.11</v>
      </c>
      <c r="I173" s="153">
        <f t="shared" ref="I173:I189" si="119">IF(E173=0,"0,0%",G173/E173)</f>
        <v>1</v>
      </c>
      <c r="J173" s="109">
        <f>G173-D173</f>
        <v>-27518.3</v>
      </c>
      <c r="K173" s="108">
        <f>G173/D173</f>
        <v>0.44500000000000001</v>
      </c>
      <c r="L173" s="107">
        <f>G173-F173</f>
        <v>-5014.6000000000004</v>
      </c>
    </row>
    <row r="174" spans="1:12">
      <c r="A174" s="134"/>
      <c r="B174" s="127" t="s">
        <v>191</v>
      </c>
      <c r="C174" s="128">
        <v>298.10000000000002</v>
      </c>
      <c r="D174" s="150">
        <v>303.39999999999998</v>
      </c>
      <c r="E174" s="150">
        <v>122.2</v>
      </c>
      <c r="F174" s="150">
        <v>98.7</v>
      </c>
      <c r="G174" s="150">
        <v>122.2</v>
      </c>
      <c r="H174" s="108">
        <f t="shared" si="118"/>
        <v>1E-3</v>
      </c>
      <c r="I174" s="153">
        <f t="shared" si="119"/>
        <v>1</v>
      </c>
      <c r="J174" s="109">
        <f>G174-D174</f>
        <v>-181.2</v>
      </c>
      <c r="K174" s="108">
        <f>G174/D174</f>
        <v>0.40300000000000002</v>
      </c>
      <c r="L174" s="107">
        <f>G174-F174</f>
        <v>23.5</v>
      </c>
    </row>
    <row r="175" spans="1:12">
      <c r="A175" s="126"/>
      <c r="B175" s="127" t="s">
        <v>109</v>
      </c>
      <c r="C175" s="128">
        <v>6770.9</v>
      </c>
      <c r="D175" s="150">
        <v>6765.6</v>
      </c>
      <c r="E175" s="150">
        <v>3276.1</v>
      </c>
      <c r="F175" s="150">
        <v>1726</v>
      </c>
      <c r="G175" s="150">
        <v>3276.1</v>
      </c>
      <c r="H175" s="108">
        <f t="shared" si="118"/>
        <v>1.6E-2</v>
      </c>
      <c r="I175" s="153">
        <f t="shared" si="119"/>
        <v>1</v>
      </c>
      <c r="J175" s="109">
        <f>G175-D175</f>
        <v>-3489.5</v>
      </c>
      <c r="K175" s="108">
        <f>G175/D175</f>
        <v>0.48399999999999999</v>
      </c>
      <c r="L175" s="107">
        <f>G175-F175</f>
        <v>1550.1</v>
      </c>
    </row>
    <row r="176" spans="1:12">
      <c r="A176" s="126"/>
      <c r="B176" s="127" t="s">
        <v>187</v>
      </c>
      <c r="C176" s="128">
        <v>1085.5</v>
      </c>
      <c r="D176" s="150">
        <v>1072</v>
      </c>
      <c r="E176" s="150">
        <v>2.1</v>
      </c>
      <c r="F176" s="150">
        <v>234.3</v>
      </c>
      <c r="G176" s="150">
        <v>2.1</v>
      </c>
      <c r="H176" s="108">
        <f t="shared" si="118"/>
        <v>0</v>
      </c>
      <c r="I176" s="153">
        <f t="shared" si="119"/>
        <v>1</v>
      </c>
      <c r="J176" s="109">
        <f t="shared" ref="J176:J177" si="120">G176-D176</f>
        <v>-1069.9000000000001</v>
      </c>
      <c r="K176" s="108">
        <f t="shared" ref="K176:K177" si="121">G176/D176</f>
        <v>2E-3</v>
      </c>
      <c r="L176" s="107">
        <f t="shared" ref="L176:L177" si="122">G176-F176</f>
        <v>-232.2</v>
      </c>
    </row>
    <row r="177" spans="1:12">
      <c r="A177" s="126"/>
      <c r="B177" s="127" t="s">
        <v>192</v>
      </c>
      <c r="C177" s="128">
        <v>1000</v>
      </c>
      <c r="D177" s="150">
        <v>1016.8</v>
      </c>
      <c r="E177" s="150">
        <v>365.1</v>
      </c>
      <c r="F177" s="150">
        <v>770.9</v>
      </c>
      <c r="G177" s="150">
        <v>365.1</v>
      </c>
      <c r="H177" s="108">
        <f t="shared" si="118"/>
        <v>2E-3</v>
      </c>
      <c r="I177" s="153">
        <f t="shared" si="119"/>
        <v>1</v>
      </c>
      <c r="J177" s="109">
        <f t="shared" si="120"/>
        <v>-651.70000000000005</v>
      </c>
      <c r="K177" s="108">
        <f t="shared" si="121"/>
        <v>0.35899999999999999</v>
      </c>
      <c r="L177" s="107">
        <f t="shared" si="122"/>
        <v>-405.8</v>
      </c>
    </row>
    <row r="178" spans="1:12" hidden="1">
      <c r="A178" s="17">
        <v>612</v>
      </c>
      <c r="B178" s="9" t="s">
        <v>105</v>
      </c>
      <c r="C178" s="7"/>
      <c r="D178" s="150"/>
      <c r="E178" s="150"/>
      <c r="F178" s="150"/>
      <c r="G178" s="150"/>
      <c r="H178" s="108">
        <f t="shared" si="118"/>
        <v>0</v>
      </c>
      <c r="I178" s="153" t="str">
        <f>IF(E178=0,"0,0%",G178/E178)</f>
        <v>0,0%</v>
      </c>
      <c r="J178" s="109">
        <f>G178-D178</f>
        <v>0</v>
      </c>
      <c r="K178" s="108" t="e">
        <f>G178/D178</f>
        <v>#DIV/0!</v>
      </c>
      <c r="L178" s="107">
        <f>G178-F178</f>
        <v>0</v>
      </c>
    </row>
    <row r="179" spans="1:12" hidden="1">
      <c r="A179" s="210"/>
      <c r="B179" s="208" t="s">
        <v>27</v>
      </c>
      <c r="C179" s="128"/>
      <c r="D179" s="150"/>
      <c r="E179" s="150"/>
      <c r="F179" s="150"/>
      <c r="G179" s="150"/>
      <c r="H179" s="108"/>
      <c r="I179" s="153"/>
      <c r="J179" s="109"/>
      <c r="K179" s="108"/>
      <c r="L179" s="107"/>
    </row>
    <row r="180" spans="1:12" ht="40.5" hidden="1">
      <c r="A180" s="210"/>
      <c r="B180" s="208" t="s">
        <v>197</v>
      </c>
      <c r="C180" s="128"/>
      <c r="D180" s="150"/>
      <c r="E180" s="150"/>
      <c r="F180" s="150"/>
      <c r="G180" s="150"/>
      <c r="H180" s="108">
        <f t="shared" ref="H180:H189" si="123">G180/$G$204</f>
        <v>0</v>
      </c>
      <c r="I180" s="153" t="str">
        <f t="shared" si="119"/>
        <v>0,0%</v>
      </c>
      <c r="J180" s="109">
        <f>G180-D180</f>
        <v>0</v>
      </c>
      <c r="K180" s="108" t="e">
        <f>G180/D180</f>
        <v>#DIV/0!</v>
      </c>
      <c r="L180" s="107">
        <f>G180-F180</f>
        <v>0</v>
      </c>
    </row>
    <row r="181" spans="1:12" ht="54">
      <c r="A181" s="210" t="s">
        <v>198</v>
      </c>
      <c r="B181" s="211" t="s">
        <v>193</v>
      </c>
      <c r="C181" s="129">
        <v>0</v>
      </c>
      <c r="D181" s="207">
        <v>3592.7</v>
      </c>
      <c r="E181" s="207">
        <v>816.4</v>
      </c>
      <c r="F181" s="207">
        <v>641.9</v>
      </c>
      <c r="G181" s="207">
        <v>816.4</v>
      </c>
      <c r="H181" s="108">
        <f t="shared" si="123"/>
        <v>4.0000000000000001E-3</v>
      </c>
      <c r="I181" s="153">
        <f t="shared" si="119"/>
        <v>1</v>
      </c>
      <c r="J181" s="109">
        <f>G181-D181</f>
        <v>-2776.3</v>
      </c>
      <c r="K181" s="108">
        <f>G181/D181</f>
        <v>0.22700000000000001</v>
      </c>
      <c r="L181" s="107">
        <f>G181-F181</f>
        <v>174.5</v>
      </c>
    </row>
    <row r="182" spans="1:12" hidden="1">
      <c r="A182" s="126" t="s">
        <v>204</v>
      </c>
      <c r="B182" s="144" t="s">
        <v>205</v>
      </c>
      <c r="C182" s="129">
        <v>0</v>
      </c>
      <c r="D182" s="129">
        <v>0</v>
      </c>
      <c r="E182" s="129">
        <v>0</v>
      </c>
      <c r="F182" s="129">
        <v>0</v>
      </c>
      <c r="G182" s="129">
        <v>0</v>
      </c>
      <c r="H182" s="108">
        <f t="shared" si="123"/>
        <v>0</v>
      </c>
      <c r="I182" s="153" t="str">
        <f t="shared" si="119"/>
        <v>0,0%</v>
      </c>
      <c r="J182" s="109">
        <f>G182-D182</f>
        <v>0</v>
      </c>
      <c r="K182" s="108" t="e">
        <f>G182/D182</f>
        <v>#DIV/0!</v>
      </c>
      <c r="L182" s="107">
        <f>G182-F182</f>
        <v>0</v>
      </c>
    </row>
    <row r="183" spans="1:12" s="27" customFormat="1">
      <c r="A183" s="94" t="s">
        <v>110</v>
      </c>
      <c r="B183" s="100" t="s">
        <v>111</v>
      </c>
      <c r="C183" s="96">
        <f>C184+C185</f>
        <v>652</v>
      </c>
      <c r="D183" s="96">
        <v>652</v>
      </c>
      <c r="E183" s="96">
        <f>E184+E185</f>
        <v>88</v>
      </c>
      <c r="F183" s="96">
        <f>F184+F185</f>
        <v>265.8</v>
      </c>
      <c r="G183" s="96">
        <f>G184+G185</f>
        <v>88</v>
      </c>
      <c r="H183" s="97">
        <f t="shared" si="123"/>
        <v>0</v>
      </c>
      <c r="I183" s="153">
        <f t="shared" si="119"/>
        <v>1</v>
      </c>
      <c r="J183" s="98">
        <f t="shared" si="114"/>
        <v>-564</v>
      </c>
      <c r="K183" s="97">
        <f t="shared" si="115"/>
        <v>0.13500000000000001</v>
      </c>
      <c r="L183" s="99">
        <f t="shared" si="116"/>
        <v>-177.8</v>
      </c>
    </row>
    <row r="184" spans="1:12" s="48" customFormat="1">
      <c r="A184" s="16" t="s">
        <v>65</v>
      </c>
      <c r="B184" s="19" t="s">
        <v>66</v>
      </c>
      <c r="C184" s="169">
        <v>652</v>
      </c>
      <c r="D184" s="157">
        <v>652</v>
      </c>
      <c r="E184" s="157">
        <v>88</v>
      </c>
      <c r="F184" s="157">
        <v>265.8</v>
      </c>
      <c r="G184" s="157">
        <v>88</v>
      </c>
      <c r="H184" s="108">
        <f t="shared" si="123"/>
        <v>0</v>
      </c>
      <c r="I184" s="153">
        <f t="shared" si="119"/>
        <v>1</v>
      </c>
      <c r="J184" s="109">
        <f t="shared" si="114"/>
        <v>-564</v>
      </c>
      <c r="K184" s="108">
        <f t="shared" si="115"/>
        <v>0.13500000000000001</v>
      </c>
      <c r="L184" s="107">
        <f t="shared" si="116"/>
        <v>-177.8</v>
      </c>
    </row>
    <row r="185" spans="1:12" s="48" customFormat="1" ht="13.5" hidden="1" customHeight="1">
      <c r="A185" s="16" t="s">
        <v>60</v>
      </c>
      <c r="B185" s="19" t="s">
        <v>61</v>
      </c>
      <c r="C185" s="169">
        <v>0</v>
      </c>
      <c r="D185" s="40">
        <v>0</v>
      </c>
      <c r="E185" s="40">
        <v>0</v>
      </c>
      <c r="F185" s="40">
        <v>0</v>
      </c>
      <c r="G185" s="40">
        <v>0</v>
      </c>
      <c r="H185" s="108">
        <f t="shared" si="123"/>
        <v>0</v>
      </c>
      <c r="I185" s="153" t="str">
        <f t="shared" si="119"/>
        <v>0,0%</v>
      </c>
      <c r="J185" s="109">
        <f t="shared" si="114"/>
        <v>0</v>
      </c>
      <c r="K185" s="108">
        <v>0</v>
      </c>
      <c r="L185" s="107">
        <f t="shared" si="116"/>
        <v>0</v>
      </c>
    </row>
    <row r="186" spans="1:12" s="27" customFormat="1">
      <c r="A186" s="94" t="s">
        <v>112</v>
      </c>
      <c r="B186" s="100" t="s">
        <v>50</v>
      </c>
      <c r="C186" s="99">
        <f>C187</f>
        <v>11176.8</v>
      </c>
      <c r="D186" s="99">
        <f t="shared" ref="D186:G186" si="124">D187</f>
        <v>11176.8</v>
      </c>
      <c r="E186" s="99">
        <f t="shared" si="124"/>
        <v>4512</v>
      </c>
      <c r="F186" s="99">
        <f t="shared" si="124"/>
        <v>4557.8</v>
      </c>
      <c r="G186" s="99">
        <f t="shared" si="124"/>
        <v>4512</v>
      </c>
      <c r="H186" s="97">
        <f t="shared" si="123"/>
        <v>2.1999999999999999E-2</v>
      </c>
      <c r="I186" s="153">
        <f t="shared" si="119"/>
        <v>1</v>
      </c>
      <c r="J186" s="98">
        <f t="shared" si="114"/>
        <v>-6664.8</v>
      </c>
      <c r="K186" s="97">
        <f t="shared" si="115"/>
        <v>0.40400000000000003</v>
      </c>
      <c r="L186" s="99">
        <f t="shared" si="116"/>
        <v>-45.8</v>
      </c>
    </row>
    <row r="187" spans="1:12" s="48" customFormat="1">
      <c r="A187" s="131" t="s">
        <v>79</v>
      </c>
      <c r="B187" s="222" t="s">
        <v>248</v>
      </c>
      <c r="C187" s="123">
        <f>C188+C189+C199</f>
        <v>11176.8</v>
      </c>
      <c r="D187" s="123">
        <f t="shared" ref="D187:G187" si="125">D188+D189+D199</f>
        <v>11176.8</v>
      </c>
      <c r="E187" s="123">
        <f t="shared" si="125"/>
        <v>4512</v>
      </c>
      <c r="F187" s="123">
        <f t="shared" si="125"/>
        <v>4557.8</v>
      </c>
      <c r="G187" s="123">
        <f t="shared" si="125"/>
        <v>4512</v>
      </c>
      <c r="H187" s="108">
        <f t="shared" si="123"/>
        <v>2.1999999999999999E-2</v>
      </c>
      <c r="I187" s="153">
        <f t="shared" si="119"/>
        <v>1</v>
      </c>
      <c r="J187" s="109">
        <f t="shared" si="114"/>
        <v>-6664.8</v>
      </c>
      <c r="K187" s="108">
        <f t="shared" si="115"/>
        <v>0.40400000000000003</v>
      </c>
      <c r="L187" s="107">
        <f t="shared" si="116"/>
        <v>-45.8</v>
      </c>
    </row>
    <row r="188" spans="1:12" ht="40.5">
      <c r="A188" s="17">
        <v>611</v>
      </c>
      <c r="B188" s="9" t="s">
        <v>104</v>
      </c>
      <c r="C188" s="128">
        <f>SUM(C191:C195)</f>
        <v>9076.7999999999993</v>
      </c>
      <c r="D188" s="150">
        <v>8953.7000000000007</v>
      </c>
      <c r="E188" s="150">
        <v>3438.6</v>
      </c>
      <c r="F188" s="150">
        <v>3533.2</v>
      </c>
      <c r="G188" s="150">
        <v>3438.6</v>
      </c>
      <c r="H188" s="108">
        <f t="shared" si="123"/>
        <v>1.7000000000000001E-2</v>
      </c>
      <c r="I188" s="153">
        <f t="shared" si="119"/>
        <v>1</v>
      </c>
      <c r="J188" s="109">
        <f t="shared" si="114"/>
        <v>-5515.1</v>
      </c>
      <c r="K188" s="108">
        <f t="shared" si="115"/>
        <v>0.38400000000000001</v>
      </c>
      <c r="L188" s="107">
        <f t="shared" si="116"/>
        <v>-94.6</v>
      </c>
    </row>
    <row r="189" spans="1:12">
      <c r="A189" s="17">
        <v>612</v>
      </c>
      <c r="B189" s="9" t="s">
        <v>105</v>
      </c>
      <c r="C189" s="128">
        <v>0</v>
      </c>
      <c r="D189" s="150">
        <v>123.1</v>
      </c>
      <c r="E189" s="150">
        <v>123</v>
      </c>
      <c r="F189" s="150">
        <v>70.3</v>
      </c>
      <c r="G189" s="150">
        <v>123</v>
      </c>
      <c r="H189" s="108">
        <f t="shared" si="123"/>
        <v>1E-3</v>
      </c>
      <c r="I189" s="153">
        <f t="shared" si="119"/>
        <v>1</v>
      </c>
      <c r="J189" s="109">
        <f>G189-D189</f>
        <v>-0.1</v>
      </c>
      <c r="K189" s="108">
        <f>G189/D189</f>
        <v>0.999</v>
      </c>
      <c r="L189" s="107">
        <f>G189-F189</f>
        <v>52.7</v>
      </c>
    </row>
    <row r="190" spans="1:12">
      <c r="A190" s="134"/>
      <c r="B190" s="135" t="s">
        <v>27</v>
      </c>
      <c r="C190" s="135"/>
      <c r="D190" s="150"/>
      <c r="E190" s="150"/>
      <c r="F190" s="150"/>
      <c r="G190" s="150"/>
      <c r="H190" s="108"/>
      <c r="I190" s="153"/>
      <c r="J190" s="109"/>
      <c r="K190" s="108"/>
      <c r="L190" s="107"/>
    </row>
    <row r="191" spans="1:12">
      <c r="A191" s="134"/>
      <c r="B191" s="127" t="s">
        <v>106</v>
      </c>
      <c r="C191" s="128">
        <v>7115.4</v>
      </c>
      <c r="D191" s="150">
        <v>7115.4</v>
      </c>
      <c r="E191" s="150">
        <v>3288.7</v>
      </c>
      <c r="F191" s="150">
        <v>3407.2</v>
      </c>
      <c r="G191" s="150">
        <v>3288.7</v>
      </c>
      <c r="H191" s="108">
        <f>G191/$G$204</f>
        <v>1.6E-2</v>
      </c>
      <c r="I191" s="153">
        <f t="shared" ref="I191:I204" si="126">IF(E191=0,"0,0%",G191/E191)</f>
        <v>1</v>
      </c>
      <c r="J191" s="109">
        <f>G191-D191</f>
        <v>-3826.7</v>
      </c>
      <c r="K191" s="108">
        <f>G191/D191</f>
        <v>0.46200000000000002</v>
      </c>
      <c r="L191" s="107">
        <f>G191-F191</f>
        <v>-118.5</v>
      </c>
    </row>
    <row r="192" spans="1:12">
      <c r="A192" s="134"/>
      <c r="B192" s="127" t="s">
        <v>191</v>
      </c>
      <c r="C192" s="128">
        <v>33.700000000000003</v>
      </c>
      <c r="D192" s="150">
        <v>33.700000000000003</v>
      </c>
      <c r="E192" s="150">
        <v>8.9</v>
      </c>
      <c r="F192" s="150">
        <v>9.4</v>
      </c>
      <c r="G192" s="150">
        <v>8.9</v>
      </c>
      <c r="H192" s="108">
        <f>G192/$G$204</f>
        <v>0</v>
      </c>
      <c r="I192" s="153">
        <f t="shared" si="126"/>
        <v>1</v>
      </c>
      <c r="J192" s="109">
        <f>G192-D192</f>
        <v>-24.8</v>
      </c>
      <c r="K192" s="108">
        <f>G192/D192</f>
        <v>0.26400000000000001</v>
      </c>
      <c r="L192" s="107">
        <f>G192-F192</f>
        <v>-0.5</v>
      </c>
    </row>
    <row r="193" spans="1:12">
      <c r="A193" s="126"/>
      <c r="B193" s="127" t="s">
        <v>109</v>
      </c>
      <c r="C193" s="128">
        <v>1256.2</v>
      </c>
      <c r="D193" s="150">
        <v>1256.2</v>
      </c>
      <c r="E193" s="150">
        <v>260.5</v>
      </c>
      <c r="F193" s="150">
        <v>121.5</v>
      </c>
      <c r="G193" s="150">
        <v>260.5</v>
      </c>
      <c r="H193" s="108">
        <f>G193/$G$204</f>
        <v>1E-3</v>
      </c>
      <c r="I193" s="153">
        <f>IF(E193=0,"0,0%",G193/E193)</f>
        <v>1</v>
      </c>
      <c r="J193" s="109">
        <f>G193-D193</f>
        <v>-995.7</v>
      </c>
      <c r="K193" s="108">
        <f>G193/D193</f>
        <v>0.20699999999999999</v>
      </c>
      <c r="L193" s="107">
        <f>G193-F193</f>
        <v>139</v>
      </c>
    </row>
    <row r="194" spans="1:12">
      <c r="A194" s="126"/>
      <c r="B194" s="127" t="s">
        <v>187</v>
      </c>
      <c r="C194" s="128">
        <v>208.2</v>
      </c>
      <c r="D194" s="150">
        <v>208.2</v>
      </c>
      <c r="E194" s="150">
        <v>0</v>
      </c>
      <c r="F194" s="150">
        <v>59.4</v>
      </c>
      <c r="G194" s="150">
        <v>0</v>
      </c>
      <c r="H194" s="108">
        <f t="shared" ref="H194:H195" si="127">G194/$G$204</f>
        <v>0</v>
      </c>
      <c r="I194" s="153" t="str">
        <f t="shared" ref="I194:I195" si="128">IF(E194=0,"0,0%",G194/E194)</f>
        <v>0,0%</v>
      </c>
      <c r="J194" s="109">
        <f t="shared" ref="J194:J195" si="129">G194-D194</f>
        <v>-208.2</v>
      </c>
      <c r="K194" s="108">
        <f t="shared" ref="K194:K195" si="130">G194/D194</f>
        <v>0</v>
      </c>
      <c r="L194" s="107">
        <f t="shared" ref="L194:L195" si="131">G194-F194</f>
        <v>-59.4</v>
      </c>
    </row>
    <row r="195" spans="1:12">
      <c r="A195" s="126"/>
      <c r="B195" s="127" t="s">
        <v>188</v>
      </c>
      <c r="C195" s="128">
        <v>463.3</v>
      </c>
      <c r="D195" s="150">
        <v>463.3</v>
      </c>
      <c r="E195" s="150">
        <v>3.5</v>
      </c>
      <c r="F195" s="150">
        <v>6</v>
      </c>
      <c r="G195" s="150">
        <v>3.4</v>
      </c>
      <c r="H195" s="108">
        <f t="shared" si="127"/>
        <v>0</v>
      </c>
      <c r="I195" s="153">
        <f t="shared" si="128"/>
        <v>0.97099999999999997</v>
      </c>
      <c r="J195" s="109">
        <f t="shared" si="129"/>
        <v>-459.9</v>
      </c>
      <c r="K195" s="108">
        <f t="shared" si="130"/>
        <v>7.0000000000000001E-3</v>
      </c>
      <c r="L195" s="107">
        <f t="shared" si="131"/>
        <v>-2.6</v>
      </c>
    </row>
    <row r="196" spans="1:12" hidden="1">
      <c r="A196" s="17"/>
      <c r="B196" s="9" t="s">
        <v>105</v>
      </c>
      <c r="C196" s="128"/>
      <c r="D196" s="150"/>
      <c r="E196" s="150"/>
      <c r="F196" s="150"/>
      <c r="G196" s="150"/>
      <c r="H196" s="108">
        <f>G196/$G$204</f>
        <v>0</v>
      </c>
      <c r="I196" s="153" t="str">
        <f>IF(E196=0,"0,0%",G196/E196)</f>
        <v>0,0%</v>
      </c>
      <c r="J196" s="109">
        <f>G196-D196</f>
        <v>0</v>
      </c>
      <c r="K196" s="108" t="e">
        <f>G196/D196</f>
        <v>#DIV/0!</v>
      </c>
      <c r="L196" s="107">
        <f>G196-F196</f>
        <v>0</v>
      </c>
    </row>
    <row r="197" spans="1:12" hidden="1">
      <c r="A197" s="210"/>
      <c r="B197" s="208" t="s">
        <v>27</v>
      </c>
      <c r="C197" s="128"/>
      <c r="D197" s="150"/>
      <c r="E197" s="150"/>
      <c r="F197" s="150"/>
      <c r="G197" s="150"/>
      <c r="H197" s="108"/>
      <c r="I197" s="153"/>
      <c r="J197" s="109"/>
      <c r="K197" s="108"/>
      <c r="L197" s="107"/>
    </row>
    <row r="198" spans="1:12" ht="27" hidden="1">
      <c r="A198" s="210"/>
      <c r="B198" s="208" t="s">
        <v>196</v>
      </c>
      <c r="C198" s="128"/>
      <c r="D198" s="150"/>
      <c r="E198" s="150"/>
      <c r="F198" s="150"/>
      <c r="G198" s="150"/>
      <c r="H198" s="108">
        <f t="shared" ref="H198:H204" si="132">G198/$G$204</f>
        <v>0</v>
      </c>
      <c r="I198" s="153" t="str">
        <f t="shared" si="126"/>
        <v>0,0%</v>
      </c>
      <c r="J198" s="109">
        <f>G198-D198</f>
        <v>0</v>
      </c>
      <c r="K198" s="108" t="e">
        <f>G198/D198</f>
        <v>#DIV/0!</v>
      </c>
      <c r="L198" s="107">
        <f>G198-F198</f>
        <v>0</v>
      </c>
    </row>
    <row r="199" spans="1:12" ht="67.5">
      <c r="A199" s="212" t="s">
        <v>199</v>
      </c>
      <c r="B199" s="208" t="s">
        <v>194</v>
      </c>
      <c r="C199" s="129">
        <v>2100</v>
      </c>
      <c r="D199" s="207">
        <v>2100</v>
      </c>
      <c r="E199" s="207">
        <v>950.4</v>
      </c>
      <c r="F199" s="207">
        <v>954.3</v>
      </c>
      <c r="G199" s="207">
        <v>950.4</v>
      </c>
      <c r="H199" s="108">
        <f t="shared" si="132"/>
        <v>5.0000000000000001E-3</v>
      </c>
      <c r="I199" s="153">
        <f t="shared" si="126"/>
        <v>1</v>
      </c>
      <c r="J199" s="109">
        <f>G199-D199</f>
        <v>-1149.5999999999999</v>
      </c>
      <c r="K199" s="108">
        <f>G199/D199</f>
        <v>0.45300000000000001</v>
      </c>
      <c r="L199" s="107">
        <f>G199-F199</f>
        <v>-3.9</v>
      </c>
    </row>
    <row r="200" spans="1:12" s="27" customFormat="1" ht="27">
      <c r="A200" s="103">
        <v>1300</v>
      </c>
      <c r="B200" s="100" t="s">
        <v>113</v>
      </c>
      <c r="C200" s="99">
        <f>C201</f>
        <v>8707.2000000000007</v>
      </c>
      <c r="D200" s="99">
        <f>D201</f>
        <v>16707.2</v>
      </c>
      <c r="E200" s="99">
        <f>E201</f>
        <v>8391.6</v>
      </c>
      <c r="F200" s="99">
        <f>F201</f>
        <v>4662</v>
      </c>
      <c r="G200" s="99">
        <f>G201</f>
        <v>8391.6</v>
      </c>
      <c r="H200" s="97">
        <f t="shared" si="132"/>
        <v>4.2000000000000003E-2</v>
      </c>
      <c r="I200" s="153">
        <f t="shared" si="126"/>
        <v>1</v>
      </c>
      <c r="J200" s="98">
        <f t="shared" si="114"/>
        <v>-8315.6</v>
      </c>
      <c r="K200" s="97">
        <f t="shared" si="115"/>
        <v>0.502</v>
      </c>
      <c r="L200" s="99">
        <f t="shared" si="116"/>
        <v>3729.6</v>
      </c>
    </row>
    <row r="201" spans="1:12" s="48" customFormat="1" ht="27">
      <c r="A201" s="16" t="s">
        <v>77</v>
      </c>
      <c r="B201" s="38" t="s">
        <v>114</v>
      </c>
      <c r="C201" s="169">
        <v>8707.2000000000007</v>
      </c>
      <c r="D201" s="157">
        <v>16707.2</v>
      </c>
      <c r="E201" s="157">
        <v>8391.6</v>
      </c>
      <c r="F201" s="157">
        <v>4662</v>
      </c>
      <c r="G201" s="157">
        <v>8391.6</v>
      </c>
      <c r="H201" s="108">
        <f t="shared" si="132"/>
        <v>4.2000000000000003E-2</v>
      </c>
      <c r="I201" s="153">
        <f t="shared" si="126"/>
        <v>1</v>
      </c>
      <c r="J201" s="109">
        <f t="shared" si="114"/>
        <v>-8315.6</v>
      </c>
      <c r="K201" s="108">
        <f t="shared" si="115"/>
        <v>0.502</v>
      </c>
      <c r="L201" s="107">
        <f t="shared" si="116"/>
        <v>3729.6</v>
      </c>
    </row>
    <row r="202" spans="1:12" s="27" customFormat="1" ht="40.5">
      <c r="A202" s="103">
        <v>1400</v>
      </c>
      <c r="B202" s="100" t="s">
        <v>169</v>
      </c>
      <c r="C202" s="99">
        <f>C203</f>
        <v>60000</v>
      </c>
      <c r="D202" s="99">
        <f>D203</f>
        <v>60000</v>
      </c>
      <c r="E202" s="99">
        <f>E203</f>
        <v>12000</v>
      </c>
      <c r="F202" s="99">
        <f>F203</f>
        <v>106450</v>
      </c>
      <c r="G202" s="99">
        <f>G203</f>
        <v>12000</v>
      </c>
      <c r="H202" s="97">
        <f t="shared" si="132"/>
        <v>0.06</v>
      </c>
      <c r="I202" s="153">
        <f t="shared" ref="I202:I203" si="133">IF(E202=0,"0,0%",G202/E202)</f>
        <v>1</v>
      </c>
      <c r="J202" s="98">
        <f t="shared" ref="J202:J203" si="134">G202-D202</f>
        <v>-48000</v>
      </c>
      <c r="K202" s="97">
        <f t="shared" ref="K202:K203" si="135">G202/D202</f>
        <v>0.2</v>
      </c>
      <c r="L202" s="99">
        <f t="shared" ref="L202:L203" si="136">G202-F202</f>
        <v>-94450</v>
      </c>
    </row>
    <row r="203" spans="1:12" s="48" customFormat="1">
      <c r="A203" s="16" t="s">
        <v>168</v>
      </c>
      <c r="B203" s="38" t="s">
        <v>170</v>
      </c>
      <c r="C203" s="169">
        <v>60000</v>
      </c>
      <c r="D203" s="157">
        <v>60000</v>
      </c>
      <c r="E203" s="157">
        <v>12000</v>
      </c>
      <c r="F203" s="157">
        <v>106450</v>
      </c>
      <c r="G203" s="157">
        <v>12000</v>
      </c>
      <c r="H203" s="108">
        <f t="shared" si="132"/>
        <v>0.06</v>
      </c>
      <c r="I203" s="153">
        <f t="shared" si="133"/>
        <v>1</v>
      </c>
      <c r="J203" s="109">
        <f t="shared" si="134"/>
        <v>-48000</v>
      </c>
      <c r="K203" s="108">
        <f t="shared" si="135"/>
        <v>0.2</v>
      </c>
      <c r="L203" s="107">
        <f t="shared" si="136"/>
        <v>-94450</v>
      </c>
    </row>
    <row r="204" spans="1:12" s="27" customFormat="1" ht="16.5">
      <c r="A204" s="94"/>
      <c r="B204" s="104" t="s">
        <v>55</v>
      </c>
      <c r="C204" s="99">
        <f>C51+C70+C77+C110+C153+C167+C183+C186+C200+C202</f>
        <v>620999.9</v>
      </c>
      <c r="D204" s="202">
        <f>D51+D70+D77+D110+D153+D167+D183+D186+D200+D202</f>
        <v>769267.3</v>
      </c>
      <c r="E204" s="99">
        <f>E51+E70+E77+E110+E153+E167+E183+E186+E200+E202</f>
        <v>201444.7</v>
      </c>
      <c r="F204" s="99">
        <f>F51+F70+F77+F110+F153+F167+F183+F186+F200+F202</f>
        <v>345853.5</v>
      </c>
      <c r="G204" s="99">
        <f>G51+G70+G77+G110+G153+G167+G183+G186+G200+G202</f>
        <v>201348</v>
      </c>
      <c r="H204" s="97">
        <f t="shared" si="132"/>
        <v>1</v>
      </c>
      <c r="I204" s="153">
        <f t="shared" si="126"/>
        <v>1</v>
      </c>
      <c r="J204" s="99">
        <f>J51+J70+J77+J110+J153+J167+J183+J186+J200</f>
        <v>-519919.3</v>
      </c>
      <c r="K204" s="97">
        <f>G204/D204</f>
        <v>0.26200000000000001</v>
      </c>
      <c r="L204" s="99">
        <f>G204-F204</f>
        <v>-144505.5</v>
      </c>
    </row>
    <row r="205" spans="1:12" s="1" customFormat="1" ht="16.5">
      <c r="A205" s="35"/>
      <c r="B205" s="83"/>
      <c r="C205" s="173"/>
      <c r="D205" s="93"/>
      <c r="E205" s="223"/>
      <c r="F205" s="203"/>
      <c r="G205" s="93"/>
      <c r="H205" s="120"/>
      <c r="I205" s="152"/>
      <c r="J205" s="121"/>
      <c r="K205" s="120"/>
      <c r="L205" s="122"/>
    </row>
    <row r="206" spans="1:12">
      <c r="A206" s="18"/>
      <c r="B206" s="6" t="s">
        <v>68</v>
      </c>
      <c r="C206" s="237">
        <f>C48-C204</f>
        <v>0</v>
      </c>
      <c r="D206" s="239">
        <f>D48-D204</f>
        <v>-3992.5</v>
      </c>
      <c r="E206" s="239">
        <f>E48-E204</f>
        <v>11200.3</v>
      </c>
      <c r="F206" s="239">
        <f>F48-F204</f>
        <v>4510.1000000000004</v>
      </c>
      <c r="G206" s="239">
        <f>G48-G204</f>
        <v>2102.5</v>
      </c>
      <c r="H206" s="229">
        <f>G206/G206</f>
        <v>1</v>
      </c>
      <c r="I206" s="152"/>
      <c r="J206" s="231">
        <f t="shared" ref="J206:J212" si="137">G206-D206</f>
        <v>6095</v>
      </c>
      <c r="K206" s="229">
        <f>G206/D206</f>
        <v>-0.52700000000000002</v>
      </c>
      <c r="L206" s="234">
        <f>G206-F206</f>
        <v>-2407.6</v>
      </c>
    </row>
    <row r="207" spans="1:12">
      <c r="A207" s="18"/>
      <c r="B207" s="6" t="s">
        <v>69</v>
      </c>
      <c r="C207" s="238"/>
      <c r="D207" s="240"/>
      <c r="E207" s="240"/>
      <c r="F207" s="240"/>
      <c r="G207" s="240"/>
      <c r="H207" s="230"/>
      <c r="I207" s="153" t="str">
        <f>IF(E207=0,"0,0%",G207/E207)</f>
        <v>0,0%</v>
      </c>
      <c r="J207" s="232"/>
      <c r="K207" s="230"/>
      <c r="L207" s="235"/>
    </row>
    <row r="208" spans="1:12" ht="27">
      <c r="A208" s="18"/>
      <c r="B208" s="6" t="s">
        <v>70</v>
      </c>
      <c r="C208" s="171">
        <f>C209+C212</f>
        <v>0</v>
      </c>
      <c r="D208" s="221">
        <f>D209+D212</f>
        <v>3992.5</v>
      </c>
      <c r="E208" s="221">
        <f>E209+E212</f>
        <v>-11200.3</v>
      </c>
      <c r="F208" s="221">
        <f>F209+F212</f>
        <v>-4510.1000000000004</v>
      </c>
      <c r="G208" s="221">
        <f>G209+G212</f>
        <v>-2102.5</v>
      </c>
      <c r="H208" s="97">
        <f>G208/G208</f>
        <v>1</v>
      </c>
      <c r="I208" s="153">
        <f>IF(E208=0,"0,0%",G208/E208)</f>
        <v>0.188</v>
      </c>
      <c r="J208" s="98">
        <f t="shared" si="137"/>
        <v>-6095</v>
      </c>
      <c r="K208" s="97">
        <f t="shared" ref="K208:K214" si="138">G208/D208</f>
        <v>-0.52700000000000002</v>
      </c>
      <c r="L208" s="99">
        <f>G208-F208</f>
        <v>2407.6</v>
      </c>
    </row>
    <row r="209" spans="1:12" ht="27">
      <c r="A209" s="49" t="s">
        <v>86</v>
      </c>
      <c r="B209" s="84" t="s">
        <v>87</v>
      </c>
      <c r="C209" s="174">
        <f>C210+C211</f>
        <v>0</v>
      </c>
      <c r="D209" s="156">
        <f>D210+D211</f>
        <v>2565</v>
      </c>
      <c r="E209" s="156">
        <f>E210+E211</f>
        <v>-11925.8</v>
      </c>
      <c r="F209" s="156">
        <f>F210-F211</f>
        <v>0</v>
      </c>
      <c r="G209" s="156">
        <f>G210+G211</f>
        <v>0</v>
      </c>
      <c r="H209" s="97">
        <v>0</v>
      </c>
      <c r="I209" s="97">
        <v>0</v>
      </c>
      <c r="J209" s="98">
        <f t="shared" si="137"/>
        <v>-2565</v>
      </c>
      <c r="K209" s="97">
        <v>0</v>
      </c>
      <c r="L209" s="123">
        <f>G209-F209</f>
        <v>0</v>
      </c>
    </row>
    <row r="210" spans="1:12" s="48" customFormat="1" ht="27">
      <c r="A210" s="17" t="s">
        <v>82</v>
      </c>
      <c r="B210" s="85" t="s">
        <v>83</v>
      </c>
      <c r="C210" s="169">
        <v>108500</v>
      </c>
      <c r="D210" s="157">
        <v>121065</v>
      </c>
      <c r="E210" s="157">
        <v>68074.2</v>
      </c>
      <c r="F210" s="157">
        <v>0</v>
      </c>
      <c r="G210" s="157">
        <v>80000</v>
      </c>
      <c r="H210" s="97">
        <v>0</v>
      </c>
      <c r="I210" s="97">
        <v>0</v>
      </c>
      <c r="J210" s="118">
        <f t="shared" si="137"/>
        <v>-41065</v>
      </c>
      <c r="K210" s="117">
        <f t="shared" si="138"/>
        <v>0.66100000000000003</v>
      </c>
      <c r="L210" s="123">
        <f>G210-F210</f>
        <v>80000</v>
      </c>
    </row>
    <row r="211" spans="1:12" s="48" customFormat="1" ht="40.5">
      <c r="A211" s="17" t="s">
        <v>84</v>
      </c>
      <c r="B211" s="85" t="s">
        <v>85</v>
      </c>
      <c r="C211" s="169">
        <v>-108500</v>
      </c>
      <c r="D211" s="157">
        <v>-118500</v>
      </c>
      <c r="E211" s="157">
        <v>-80000</v>
      </c>
      <c r="F211" s="157">
        <v>0</v>
      </c>
      <c r="G211" s="157">
        <v>-80000</v>
      </c>
      <c r="H211" s="97">
        <v>0</v>
      </c>
      <c r="I211" s="97">
        <v>0</v>
      </c>
      <c r="J211" s="118">
        <f t="shared" si="137"/>
        <v>38500</v>
      </c>
      <c r="K211" s="117">
        <f t="shared" si="138"/>
        <v>0.67500000000000004</v>
      </c>
      <c r="L211" s="123">
        <f>G211-F211</f>
        <v>-80000</v>
      </c>
    </row>
    <row r="212" spans="1:12" ht="27">
      <c r="A212" s="49" t="s">
        <v>88</v>
      </c>
      <c r="B212" s="84" t="s">
        <v>89</v>
      </c>
      <c r="C212" s="174">
        <f>C213+C214</f>
        <v>0</v>
      </c>
      <c r="D212" s="41">
        <f>D213+D214</f>
        <v>1427.5</v>
      </c>
      <c r="E212" s="156">
        <f>E213+E214</f>
        <v>725.5</v>
      </c>
      <c r="F212" s="156">
        <f>F213+F214</f>
        <v>-4510.1000000000004</v>
      </c>
      <c r="G212" s="156">
        <f>G213+G214</f>
        <v>-2102.5</v>
      </c>
      <c r="H212" s="97">
        <f>G208/G212</f>
        <v>1</v>
      </c>
      <c r="I212" s="97">
        <v>0</v>
      </c>
      <c r="J212" s="98">
        <f t="shared" si="137"/>
        <v>-3530</v>
      </c>
      <c r="K212" s="97">
        <f t="shared" si="138"/>
        <v>-1.4730000000000001</v>
      </c>
      <c r="L212" s="119">
        <f>G212-F212</f>
        <v>2407.6</v>
      </c>
    </row>
    <row r="213" spans="1:12" ht="27">
      <c r="A213" s="16" t="s">
        <v>90</v>
      </c>
      <c r="B213" s="8" t="s">
        <v>51</v>
      </c>
      <c r="C213" s="169">
        <v>0</v>
      </c>
      <c r="D213" s="40">
        <v>0</v>
      </c>
      <c r="E213" s="157">
        <v>0</v>
      </c>
      <c r="F213" s="157">
        <v>-351472.1</v>
      </c>
      <c r="G213" s="157">
        <v>-284157.2</v>
      </c>
      <c r="H213" s="97">
        <f t="shared" ref="H213:H214" si="139">G209/G213</f>
        <v>0</v>
      </c>
      <c r="I213" s="97">
        <v>0</v>
      </c>
      <c r="J213" s="109">
        <f>G213-D213</f>
        <v>-284157.2</v>
      </c>
      <c r="K213" s="108">
        <v>0</v>
      </c>
      <c r="L213" s="107">
        <f>-(L48)</f>
        <v>146913.1</v>
      </c>
    </row>
    <row r="214" spans="1:12" ht="27">
      <c r="A214" s="16" t="s">
        <v>91</v>
      </c>
      <c r="B214" s="8" t="s">
        <v>52</v>
      </c>
      <c r="C214" s="169">
        <v>0</v>
      </c>
      <c r="D214" s="40">
        <v>1427.5</v>
      </c>
      <c r="E214" s="157">
        <v>725.5</v>
      </c>
      <c r="F214" s="157">
        <v>346962</v>
      </c>
      <c r="G214" s="157">
        <v>282054.7</v>
      </c>
      <c r="H214" s="97">
        <f t="shared" si="139"/>
        <v>0.28399999999999997</v>
      </c>
      <c r="I214" s="97">
        <v>0</v>
      </c>
      <c r="J214" s="109">
        <f>G214-D214</f>
        <v>280627.20000000001</v>
      </c>
      <c r="K214" s="108">
        <f t="shared" si="138"/>
        <v>197.58600000000001</v>
      </c>
      <c r="L214" s="107">
        <f>L204</f>
        <v>-144505.5</v>
      </c>
    </row>
    <row r="215" spans="1:12" ht="13.5" hidden="1" customHeight="1">
      <c r="A215" s="17" t="s">
        <v>10</v>
      </c>
      <c r="B215" s="11" t="s">
        <v>9</v>
      </c>
      <c r="C215" s="175"/>
      <c r="D215" s="31"/>
      <c r="E215" s="7" t="s">
        <v>10</v>
      </c>
      <c r="F215" s="7"/>
      <c r="G215" s="7"/>
      <c r="H215" s="108"/>
      <c r="I215" s="108"/>
      <c r="J215" s="109"/>
      <c r="K215" s="108"/>
      <c r="L215" s="107"/>
    </row>
    <row r="216" spans="1:12" ht="27" hidden="1" customHeight="1">
      <c r="A216" s="105"/>
      <c r="B216" s="106" t="s">
        <v>145</v>
      </c>
      <c r="C216" s="107">
        <f>C67+C150+C158+C173+C191</f>
        <v>101158.6</v>
      </c>
      <c r="D216" s="107">
        <f>D67+D150+D158+D173+D191</f>
        <v>101155.3</v>
      </c>
      <c r="E216" s="107">
        <f>E67+E150+E158+E173+E191</f>
        <v>38617</v>
      </c>
      <c r="F216" s="107">
        <f>F67+F150+F158+F173+F191</f>
        <v>40238</v>
      </c>
      <c r="G216" s="107">
        <f>G67+G150+G158+G173+G191</f>
        <v>38617</v>
      </c>
      <c r="H216" s="117">
        <f t="shared" ref="H216:H221" si="140">G216/$G$204</f>
        <v>0.192</v>
      </c>
      <c r="I216" s="153">
        <f t="shared" ref="I216:I221" si="141">IF(E216=0,"0,0%",G216/E216)</f>
        <v>1</v>
      </c>
      <c r="J216" s="118">
        <f t="shared" ref="J216:J221" si="142">G216-D216</f>
        <v>-62538.3</v>
      </c>
      <c r="K216" s="117">
        <f t="shared" ref="K216:K221" si="143">G216/D216</f>
        <v>0.38200000000000001</v>
      </c>
      <c r="L216" s="123">
        <f t="shared" ref="L216:L221" si="144">G216-F216</f>
        <v>-1621</v>
      </c>
    </row>
    <row r="217" spans="1:12" ht="13.5" hidden="1" customHeight="1">
      <c r="A217" s="105" t="s">
        <v>10</v>
      </c>
      <c r="B217" s="106" t="s">
        <v>144</v>
      </c>
      <c r="C217" s="107">
        <f>C67</f>
        <v>12264.3</v>
      </c>
      <c r="D217" s="107">
        <f t="shared" ref="D217:G217" si="145">D67</f>
        <v>12264.3</v>
      </c>
      <c r="E217" s="107">
        <f t="shared" si="145"/>
        <v>4477</v>
      </c>
      <c r="F217" s="107">
        <f t="shared" ref="F217" si="146">F67</f>
        <v>4780.1000000000004</v>
      </c>
      <c r="G217" s="107">
        <f t="shared" si="145"/>
        <v>4477</v>
      </c>
      <c r="H217" s="117">
        <f t="shared" si="140"/>
        <v>2.1999999999999999E-2</v>
      </c>
      <c r="I217" s="153">
        <f t="shared" si="141"/>
        <v>1</v>
      </c>
      <c r="J217" s="118">
        <f t="shared" si="142"/>
        <v>-7787.3</v>
      </c>
      <c r="K217" s="117">
        <f t="shared" si="143"/>
        <v>0.36499999999999999</v>
      </c>
      <c r="L217" s="123">
        <f t="shared" si="144"/>
        <v>-303.10000000000002</v>
      </c>
    </row>
    <row r="218" spans="1:12" ht="13.5" hidden="1" customHeight="1">
      <c r="A218" s="105"/>
      <c r="B218" s="106" t="s">
        <v>176</v>
      </c>
      <c r="C218" s="107">
        <f>C191+C173+C158</f>
        <v>65317.8</v>
      </c>
      <c r="D218" s="107">
        <f>D191+D173+D158</f>
        <v>65314.5</v>
      </c>
      <c r="E218" s="107">
        <f>E191+E173+E158</f>
        <v>28655</v>
      </c>
      <c r="F218" s="107">
        <f>F191+F173+F158</f>
        <v>35457.9</v>
      </c>
      <c r="G218" s="107">
        <f>G191+G173+G158</f>
        <v>28655</v>
      </c>
      <c r="H218" s="117">
        <f t="shared" si="140"/>
        <v>0.14199999999999999</v>
      </c>
      <c r="I218" s="153">
        <f t="shared" si="141"/>
        <v>1</v>
      </c>
      <c r="J218" s="118">
        <f t="shared" si="142"/>
        <v>-36659.5</v>
      </c>
      <c r="K218" s="117">
        <f t="shared" si="143"/>
        <v>0.439</v>
      </c>
      <c r="L218" s="123">
        <f t="shared" si="144"/>
        <v>-6802.9</v>
      </c>
    </row>
    <row r="219" spans="1:12" ht="13.5" hidden="1" customHeight="1">
      <c r="A219" s="105" t="s">
        <v>10</v>
      </c>
      <c r="B219" s="106" t="s">
        <v>109</v>
      </c>
      <c r="C219" s="107">
        <f>C68+C160+C175+C193</f>
        <v>9099.2000000000007</v>
      </c>
      <c r="D219" s="107">
        <f>D68+D160+D175+D193</f>
        <v>9093.9</v>
      </c>
      <c r="E219" s="107">
        <f>E68+E160+E175+E193</f>
        <v>3868.2</v>
      </c>
      <c r="F219" s="107">
        <f>F68+F160+F175+F193</f>
        <v>2088.3000000000002</v>
      </c>
      <c r="G219" s="107">
        <f>G68+G160+G175+G193</f>
        <v>3868.2</v>
      </c>
      <c r="H219" s="117">
        <f t="shared" si="140"/>
        <v>1.9E-2</v>
      </c>
      <c r="I219" s="153">
        <f t="shared" si="141"/>
        <v>1</v>
      </c>
      <c r="J219" s="118">
        <f t="shared" si="142"/>
        <v>-5225.7</v>
      </c>
      <c r="K219" s="117">
        <f t="shared" si="143"/>
        <v>0.42499999999999999</v>
      </c>
      <c r="L219" s="123">
        <f t="shared" si="144"/>
        <v>1779.9</v>
      </c>
    </row>
    <row r="220" spans="1:12" ht="13.5" hidden="1" customHeight="1">
      <c r="A220" s="105" t="s">
        <v>10</v>
      </c>
      <c r="B220" s="110" t="s">
        <v>76</v>
      </c>
      <c r="C220" s="128"/>
      <c r="D220" s="150"/>
      <c r="E220" s="150"/>
      <c r="F220" s="150"/>
      <c r="G220" s="150"/>
      <c r="H220" s="117">
        <f t="shared" si="140"/>
        <v>0</v>
      </c>
      <c r="I220" s="153" t="str">
        <f t="shared" si="141"/>
        <v>0,0%</v>
      </c>
      <c r="J220" s="118">
        <f t="shared" si="142"/>
        <v>0</v>
      </c>
      <c r="K220" s="117" t="e">
        <f t="shared" si="143"/>
        <v>#DIV/0!</v>
      </c>
      <c r="L220" s="123">
        <f t="shared" si="144"/>
        <v>0</v>
      </c>
    </row>
    <row r="221" spans="1:12" ht="13.5" hidden="1" customHeight="1">
      <c r="A221" s="105"/>
      <c r="B221" s="110" t="s">
        <v>115</v>
      </c>
      <c r="C221" s="107">
        <f>C69+C76+C109+C152+C166+C181+C199</f>
        <v>132966.5</v>
      </c>
      <c r="D221" s="107">
        <f>D69+D76+D109+D152+D166+D181+D199</f>
        <v>264444.79999999999</v>
      </c>
      <c r="E221" s="107">
        <f>E69+E76+E109+E152+E166+E181+E199</f>
        <v>39003.300000000003</v>
      </c>
      <c r="F221" s="107">
        <f>F69+F76+F109+F152+F166+F181+F199</f>
        <v>102059.7</v>
      </c>
      <c r="G221" s="107">
        <f>G69+G76+G109+G152+G166+G181+G199</f>
        <v>38944.699999999997</v>
      </c>
      <c r="H221" s="117">
        <f t="shared" si="140"/>
        <v>0.193</v>
      </c>
      <c r="I221" s="153">
        <f t="shared" si="141"/>
        <v>0.998</v>
      </c>
      <c r="J221" s="118">
        <f t="shared" si="142"/>
        <v>-225500.1</v>
      </c>
      <c r="K221" s="117">
        <f t="shared" si="143"/>
        <v>0.14699999999999999</v>
      </c>
      <c r="L221" s="123">
        <f t="shared" si="144"/>
        <v>-63115</v>
      </c>
    </row>
    <row r="222" spans="1:12">
      <c r="B222" s="130"/>
      <c r="C222" s="33"/>
      <c r="D222" s="34"/>
      <c r="E222" s="34"/>
      <c r="F222" s="34"/>
      <c r="G222" s="34"/>
      <c r="H222" s="36"/>
      <c r="I222" s="36"/>
      <c r="J222" s="37"/>
      <c r="K222" s="36"/>
      <c r="L222" s="34"/>
    </row>
    <row r="223" spans="1:12">
      <c r="A223" s="75"/>
      <c r="D223" s="34"/>
      <c r="H223" s="73" t="s">
        <v>10</v>
      </c>
    </row>
    <row r="224" spans="1:12">
      <c r="B224" s="86"/>
      <c r="C224" s="87"/>
      <c r="D224" s="88"/>
      <c r="E224" s="89"/>
      <c r="F224" s="44"/>
      <c r="G224" s="44"/>
      <c r="H224" s="90"/>
      <c r="I224" s="90"/>
      <c r="J224" s="90"/>
      <c r="K224" s="73" t="s">
        <v>10</v>
      </c>
      <c r="L224" s="2"/>
    </row>
    <row r="225" spans="2:10">
      <c r="B225" s="91"/>
      <c r="C225" s="91"/>
      <c r="D225" s="88"/>
      <c r="E225" s="90"/>
      <c r="F225" s="90"/>
      <c r="G225" s="90"/>
      <c r="H225" s="90"/>
      <c r="I225" s="90"/>
      <c r="J225" s="92"/>
    </row>
    <row r="228" spans="2:10">
      <c r="E228" s="73" t="s">
        <v>10</v>
      </c>
    </row>
  </sheetData>
  <customSheetViews>
    <customSheetView guid="{0BD4437E-22A9-4FBD-A5E2-5BE85718F571}" scale="110" fitToPage="1" printArea="1" showRuler="0">
      <pane ySplit="5" topLeftCell="A54" activePane="bottomLeft" state="frozenSplit"/>
      <selection pane="bottomLeft" activeCell="E4" sqref="E4"/>
      <rowBreaks count="66" manualBreakCount="66">
        <brk id="13" max="16383" man="1"/>
        <brk id="18" max="12" man="1"/>
        <brk id="21" max="12" man="1"/>
        <brk id="23" max="12" man="1"/>
        <brk id="28" max="12" man="1"/>
        <brk id="34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5" max="12" man="1"/>
        <brk id="76" max="12" man="1"/>
        <brk id="77" max="12" man="1"/>
        <brk id="80" max="12" man="1"/>
        <brk id="89" max="16383" man="1"/>
        <brk id="97" max="12" man="1"/>
        <brk id="98" max="16383" man="1"/>
        <brk id="101" max="12" man="1"/>
        <brk id="107" max="12" man="1"/>
        <brk id="108" max="12" man="1"/>
        <brk id="168" max="12" man="1"/>
        <brk id="176" max="12" man="1"/>
        <brk id="177" max="12" man="1"/>
        <brk id="178" max="16383" man="1"/>
        <brk id="180" max="12" man="1"/>
        <brk id="181" max="12" man="1"/>
        <brk id="184" max="16383" man="1"/>
        <brk id="185" max="16383" man="1"/>
        <brk id="188" max="13" man="1"/>
        <brk id="189" max="16383" man="1"/>
        <brk id="190" max="13" man="1"/>
        <brk id="192" max="13" man="1"/>
        <brk id="195" max="13" man="1"/>
        <brk id="196" max="13" man="1"/>
        <brk id="198" max="13" man="1"/>
        <brk id="199" max="13" man="1"/>
        <brk id="206" max="13" man="1"/>
        <brk id="212" max="13" man="1"/>
        <brk id="213" max="13" man="1"/>
        <brk id="214" max="13" man="1"/>
        <brk id="217" max="13" man="1"/>
        <brk id="218" max="16383" man="1"/>
        <brk id="221" max="13" man="1"/>
        <brk id="223" max="16383" man="1"/>
        <brk id="225" max="16383" man="1"/>
        <brk id="226" max="13" man="1"/>
        <brk id="227" max="13" man="1"/>
        <brk id="228" max="13" man="1"/>
        <brk id="234" max="13" man="1"/>
        <brk id="236" max="13" man="1"/>
        <brk id="241" max="13" man="1"/>
        <brk id="243" max="13" man="1"/>
        <brk id="246" max="13" man="1"/>
        <brk id="248" max="13" man="1"/>
        <brk id="256" max="13" man="1"/>
        <brk id="257" max="16383" man="1"/>
        <brk id="265" max="13" man="1"/>
        <brk id="269" max="13" man="1"/>
        <brk id="277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1"/>
      <headerFooter alignWithMargins="0">
        <oddFooter>&amp;R&amp;"Arial Narrow,обычный"&amp;8Лист &amp;P из &amp;N</oddFooter>
      </headerFooter>
    </customSheetView>
    <customSheetView guid="{08EF82CC-B73D-4976-854E-2FADDE1EDAB4}" scale="110" fitToPage="1" showRuler="0">
      <pane ySplit="5" topLeftCell="A108" activePane="bottomLeft" state="frozenSplit"/>
      <selection pane="bottomLeft" activeCell="G116" sqref="G116"/>
      <rowBreaks count="66" manualBreakCount="66">
        <brk id="13" max="16383" man="1"/>
        <brk id="18" max="12" man="1"/>
        <brk id="21" max="12" man="1"/>
        <brk id="23" max="12" man="1"/>
        <brk id="28" max="12" man="1"/>
        <brk id="34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5" max="12" man="1"/>
        <brk id="76" max="12" man="1"/>
        <brk id="77" max="12" man="1"/>
        <brk id="80" max="12" man="1"/>
        <brk id="89" max="16383" man="1"/>
        <brk id="97" max="12" man="1"/>
        <brk id="98" max="16383" man="1"/>
        <brk id="101" max="12" man="1"/>
        <brk id="107" max="12" man="1"/>
        <brk id="108" max="12" man="1"/>
        <brk id="168" max="12" man="1"/>
        <brk id="176" max="12" man="1"/>
        <brk id="177" max="12" man="1"/>
        <brk id="178" max="16383" man="1"/>
        <brk id="180" max="12" man="1"/>
        <brk id="181" max="12" man="1"/>
        <brk id="184" max="16383" man="1"/>
        <brk id="185" max="16383" man="1"/>
        <brk id="188" max="13" man="1"/>
        <brk id="189" max="16383" man="1"/>
        <brk id="190" max="13" man="1"/>
        <brk id="192" max="13" man="1"/>
        <brk id="195" max="13" man="1"/>
        <brk id="196" max="13" man="1"/>
        <brk id="198" max="13" man="1"/>
        <brk id="199" max="13" man="1"/>
        <brk id="206" max="13" man="1"/>
        <brk id="212" max="13" man="1"/>
        <brk id="213" max="13" man="1"/>
        <brk id="214" max="13" man="1"/>
        <brk id="217" max="13" man="1"/>
        <brk id="218" max="16383" man="1"/>
        <brk id="221" max="13" man="1"/>
        <brk id="223" max="16383" man="1"/>
        <brk id="225" max="16383" man="1"/>
        <brk id="226" max="13" man="1"/>
        <brk id="227" max="13" man="1"/>
        <brk id="228" max="13" man="1"/>
        <brk id="234" max="13" man="1"/>
        <brk id="236" max="13" man="1"/>
        <brk id="241" max="13" man="1"/>
        <brk id="243" max="13" man="1"/>
        <brk id="246" max="13" man="1"/>
        <brk id="248" max="13" man="1"/>
        <brk id="256" max="13" man="1"/>
        <brk id="257" max="16383" man="1"/>
        <brk id="265" max="13" man="1"/>
        <brk id="269" max="13" man="1"/>
        <brk id="277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2"/>
      <headerFooter alignWithMargins="0">
        <oddFooter>&amp;R&amp;"Arial Narrow,обычный"&amp;8Лист &amp;P из &amp;N</oddFooter>
      </headerFooter>
    </customSheetView>
    <customSheetView guid="{6B5A71DB-8104-43F2-BE21-9362D50D2638}" fitToPage="1" printArea="1" hiddenRows="1" view="pageBreakPreview" showRuler="0">
      <pane ySplit="5" topLeftCell="A133" activePane="bottomLeft" state="frozenSplit"/>
      <selection pane="bottomLeft" activeCell="D57" sqref="D57"/>
      <rowBreaks count="60" manualBreakCount="60">
        <brk id="13" max="16383" man="1"/>
        <brk id="18" max="12" man="1"/>
        <brk id="21" max="12" man="1"/>
        <brk id="23" max="12" man="1"/>
        <brk id="26" max="12" man="1"/>
        <brk id="28" max="16383" man="1"/>
        <brk id="42" max="12" man="1"/>
        <brk id="43" max="12" man="1"/>
        <brk id="44" max="12" man="1"/>
        <brk id="45" max="12" man="1"/>
        <brk id="46" max="12" man="1"/>
        <brk id="47" max="12" man="1"/>
        <brk id="51" max="12" man="1"/>
        <brk id="63" max="12" man="1"/>
        <brk id="64" max="12" man="1"/>
        <brk id="67" max="12" man="1"/>
        <brk id="76" max="16383" man="1"/>
        <brk id="80" max="12" man="1"/>
        <brk id="81" max="16383" man="1"/>
        <brk id="84" max="12" man="1"/>
        <brk id="92" max="12" man="1"/>
        <brk id="129" max="12" man="1"/>
        <brk id="137" max="12" man="1"/>
        <brk id="138" max="12" man="1"/>
        <brk id="140" max="16383" man="1"/>
        <brk id="143" max="12" man="1"/>
        <brk id="144" max="12" man="1"/>
        <brk id="147" max="16383" man="1"/>
        <brk id="148" max="16383" man="1"/>
        <brk id="151" max="13" man="1"/>
        <brk id="152" max="16383" man="1"/>
        <brk id="153" max="13" man="1"/>
        <brk id="155" max="13" man="1"/>
        <brk id="158" max="13" man="1"/>
        <brk id="159" max="13" man="1"/>
        <brk id="161" max="13" man="1"/>
        <brk id="162" max="13" man="1"/>
        <brk id="169" max="13" man="1"/>
        <brk id="175" max="13" man="1"/>
        <brk id="176" max="13" man="1"/>
        <brk id="177" max="13" man="1"/>
        <brk id="180" max="13" man="1"/>
        <brk id="181" max="16383" man="1"/>
        <brk id="184" max="13" man="1"/>
        <brk id="186" max="16383" man="1"/>
        <brk id="188" max="16383" man="1"/>
        <brk id="189" max="13" man="1"/>
        <brk id="190" max="13" man="1"/>
        <brk id="191" max="13" man="1"/>
        <brk id="197" max="13" man="1"/>
        <brk id="199" max="13" man="1"/>
        <brk id="204" max="13" man="1"/>
        <brk id="206" max="13" man="1"/>
        <brk id="209" max="13" man="1"/>
        <brk id="211" max="13" man="1"/>
        <brk id="219" max="13" man="1"/>
        <brk id="220" max="16383" man="1"/>
        <brk id="228" max="13" man="1"/>
        <brk id="232" max="13" man="1"/>
        <brk id="240" max="13" man="1"/>
      </rowBreaks>
      <pageMargins left="0.27559055118110237" right="0.19685039370078741" top="0.31496062992125984" bottom="0.19685039370078741" header="0.15748031496062992" footer="0.19685039370078741"/>
      <pageSetup paperSize="9" scale="87" fitToHeight="14" orientation="landscape" blackAndWhite="1" horizontalDpi="4294967292" verticalDpi="4294967292" r:id="rId3"/>
      <headerFooter alignWithMargins="0">
        <oddFooter>&amp;R&amp;"Arial Narrow,обычный"&amp;8Лист &amp;P из &amp;N</oddFooter>
      </headerFooter>
    </customSheetView>
    <customSheetView guid="{D467516B-79C5-4C0A-A5E2-1E73FB77BFFC}" showPageBreaks="1" fitToPage="1" showRuler="0">
      <pane xSplit="2" ySplit="4" topLeftCell="C89" activePane="bottomRight" state="frozenSplit"/>
      <selection pane="bottomRight" activeCell="D107" sqref="D107"/>
      <rowBreaks count="74" manualBreakCount="74">
        <brk id="13" max="13" man="1"/>
        <brk id="14" max="16383" man="1"/>
        <brk id="16" max="16383" man="1"/>
        <brk id="18" max="16383" man="1"/>
        <brk id="22" max="16383" man="1"/>
        <brk id="23" max="13" man="1"/>
        <brk id="24" max="16383" man="1"/>
        <brk id="25" max="16383" man="1"/>
        <brk id="26" max="16383" man="1"/>
        <brk id="27" max="16383" man="1"/>
        <brk id="28" max="16383" man="1"/>
        <brk id="29" max="16383" man="1"/>
        <brk id="30" max="16383" man="1"/>
        <brk id="31" max="16383" man="1"/>
        <brk id="32" max="16383" man="1"/>
        <brk id="33" max="16383" man="1"/>
        <brk id="35" max="16383" man="1"/>
        <brk id="36" max="16383" man="1"/>
        <brk id="37" max="16383" man="1"/>
        <brk id="38" max="16383" man="1"/>
        <brk id="39" max="13" man="1"/>
        <brk id="40" max="16383" man="1"/>
        <brk id="42" max="16383" man="1"/>
        <brk id="43" max="16383" man="1"/>
        <brk id="44" max="16383" man="1"/>
        <brk id="45" max="16383" man="1"/>
        <brk id="46" max="16383" man="1"/>
        <brk id="47" max="16383" man="1"/>
        <brk id="48" max="16383" man="1"/>
        <brk id="49" max="16383" man="1"/>
        <brk id="50" max="16383" man="1"/>
        <brk id="51" max="13" man="1"/>
        <brk id="52" max="16383" man="1"/>
        <brk id="56" max="13" man="1"/>
        <brk id="58" max="10" man="1"/>
        <brk id="59" max="16383" man="1"/>
        <brk id="62" max="16383" man="1"/>
        <brk id="73" max="13" man="1"/>
        <brk id="74" max="13" man="1"/>
        <brk id="76" max="13" man="1"/>
        <brk id="80" max="13" man="1"/>
        <brk id="81" max="16383" man="1"/>
        <brk id="85" max="16383" man="1"/>
        <brk id="86" max="16383" man="1"/>
        <brk id="87" max="16383" man="1"/>
        <brk id="88" max="13" man="1"/>
        <brk id="91" max="16383" man="1"/>
        <brk id="92" max="13" man="1"/>
        <brk id="94" max="13" man="1"/>
        <brk id="95" max="16383" man="1"/>
        <brk id="96" max="16383" man="1"/>
        <brk id="97" max="16383" man="1"/>
        <brk id="98" max="16383" man="1"/>
        <brk id="100" max="16383" man="1"/>
        <brk id="101" max="13" man="1"/>
        <brk id="107" max="10" man="1"/>
        <brk id="108" max="16383" man="1"/>
        <brk id="109" max="13" man="1"/>
        <brk id="110" max="16383" man="1"/>
        <brk id="112" max="13" man="1"/>
        <brk id="114" max="16383" man="1"/>
        <brk id="119" max="16383" man="1"/>
        <brk id="120" max="16383" man="1"/>
        <brk id="122" max="16383" man="1"/>
        <brk id="124" max="16383" man="1"/>
        <brk id="134" max="10" man="1"/>
        <brk id="135" max="16383" man="1"/>
        <brk id="136" max="16383" man="1"/>
        <brk id="138" max="10" man="1"/>
        <brk id="142" max="16383" man="1"/>
        <brk id="148" max="16383" man="1"/>
        <brk id="165" max="16383" man="1"/>
        <brk id="166" max="16383" man="1"/>
        <brk id="179" max="16383" man="1"/>
      </rowBreaks>
      <pageMargins left="0.27559055118110237" right="0.19685039370078741" top="0.33" bottom="0.4" header="0.15748031496062992" footer="0.19685039370078741"/>
      <pageSetup paperSize="9" scale="92" fitToHeight="13" orientation="landscape" blackAndWhite="1" horizontalDpi="4294967292" verticalDpi="4294967292" r:id="rId4"/>
      <headerFooter alignWithMargins="0">
        <oddFooter>&amp;R&amp;"Arial Narrow,обычный"&amp;8Лист &amp;P из &amp;N</oddFooter>
      </headerFooter>
    </customSheetView>
    <customSheetView guid="{7BE5A02B-F350-49A6-9913-9C71C08559EF}" showPageBreaks="1" fitToPage="1" hiddenRows="1" showRuler="0" topLeftCell="B1">
      <pane ySplit="4" topLeftCell="A165" activePane="bottomLeft" state="frozen"/>
      <selection pane="bottomLeft" activeCell="O192" sqref="O192"/>
      <rowBreaks count="114" manualBreakCount="114">
        <brk id="13" max="16383" man="1"/>
        <brk id="16" max="16383" man="1"/>
        <brk id="19" max="16383" man="1"/>
        <brk id="20" max="16383" man="1"/>
        <brk id="24" max="16383" man="1"/>
        <brk id="28" max="13" man="1"/>
        <brk id="29" max="13" man="1"/>
        <brk id="30" max="16383" man="1"/>
        <brk id="31" max="16383" man="1"/>
        <brk id="38" max="16383" man="1"/>
        <brk id="39" max="16383" man="1"/>
        <brk id="40" max="16383" man="1"/>
        <brk id="41" max="16383" man="1"/>
        <brk id="42" max="16383" man="1"/>
        <brk id="43" max="16383" man="1"/>
        <brk id="49" max="16383" man="1"/>
        <brk id="50" max="16383" man="1"/>
        <brk id="53" max="16383" man="1"/>
        <brk id="54" max="16383" man="1"/>
        <brk id="55" max="16383" man="1"/>
        <brk id="56" max="16383" man="1"/>
        <brk id="57" max="16383" man="1"/>
        <brk id="58" max="16383" man="1"/>
        <brk id="62" max="16383" man="1"/>
        <brk id="65" max="16383" man="1"/>
        <brk id="69" max="13" man="1"/>
        <brk id="70" max="16383" man="1"/>
        <brk id="71" max="16383" man="1"/>
        <brk id="72" max="16383" man="1"/>
        <brk id="73" max="16383" man="1"/>
        <brk id="74" max="16383" man="1"/>
        <brk id="75" max="16383" man="1"/>
        <brk id="78" max="16383" man="1"/>
        <brk id="83" max="16383" man="1"/>
        <brk id="84" max="16383" man="1"/>
        <brk id="85" max="16383" man="1"/>
        <brk id="86" max="16383" man="1"/>
        <brk id="87" max="16383" man="1"/>
        <brk id="90" max="16383" man="1"/>
        <brk id="92" max="16383" man="1"/>
        <brk id="93" max="16383" man="1"/>
        <brk id="94" max="16383" man="1"/>
        <brk id="96" max="16383" man="1"/>
        <brk id="100" max="16383" man="1"/>
        <brk id="101" max="16383" man="1"/>
        <brk id="102" max="16383" man="1"/>
        <brk id="104" max="13" man="1"/>
        <brk id="105" max="16383" man="1"/>
        <brk id="106" max="16383" man="1"/>
        <brk id="107" max="16383" man="1"/>
        <brk id="108" max="16383" man="1"/>
        <brk id="109" max="16383" man="1"/>
        <brk id="110" max="13" man="1"/>
        <brk id="111" max="16383" man="1"/>
        <brk id="112" max="16383" man="1"/>
        <brk id="113" max="16383" man="1"/>
        <brk id="114" max="16383" man="1"/>
        <brk id="115" max="16383" man="1"/>
        <brk id="119" max="16383" man="1"/>
        <brk id="121" max="16383" man="1"/>
        <brk id="122" max="16383" man="1"/>
        <brk id="124" max="16383" man="1"/>
        <brk id="125" max="16383" man="1"/>
        <brk id="126" max="13" man="1"/>
        <brk id="127" max="16383" man="1"/>
        <brk id="131" max="13" man="1"/>
        <brk id="133" max="16383" man="1"/>
        <brk id="136" max="16383" man="1"/>
        <brk id="137" max="16383" man="1"/>
        <brk id="139" max="16383" man="1"/>
        <brk id="140" max="16383" man="1"/>
        <brk id="145" max="16383" man="1"/>
        <brk id="146" max="16383" man="1"/>
        <brk id="148" max="16383" man="1"/>
        <brk id="149" max="16383" man="1"/>
        <brk id="153" max="16383" man="1"/>
        <brk id="154" max="16383" man="1"/>
        <brk id="161" max="16383" man="1"/>
        <brk id="162" max="16383" man="1"/>
        <brk id="163" max="16383" man="1"/>
        <brk id="165" max="16383" man="1"/>
        <brk id="166" max="16383" man="1"/>
        <brk id="170" max="16383" man="1"/>
        <brk id="174" max="16383" man="1"/>
        <brk id="175" max="16383" man="1"/>
        <brk id="181" max="16383" man="1"/>
        <brk id="182" max="16383" man="1"/>
        <brk id="183" max="16383" man="1"/>
        <brk id="184" max="16383" man="1"/>
        <brk id="187" max="13" man="1"/>
        <brk id="191" max="16383" man="1"/>
        <brk id="192" max="16383" man="1"/>
        <brk id="193" max="16383" man="1"/>
        <brk id="197" max="16383" man="1"/>
        <brk id="198" max="16383" man="1"/>
        <brk id="201" max="16383" man="1"/>
        <brk id="204" max="16383" man="1"/>
        <brk id="206" max="16383" man="1"/>
        <brk id="207" max="16383" man="1"/>
        <brk id="210" max="16383" man="1"/>
        <brk id="211" max="16383" man="1"/>
        <brk id="212" max="16383" man="1"/>
        <brk id="215" max="16383" man="1"/>
        <brk id="216" max="16383" man="1"/>
        <brk id="217" max="16383" man="1"/>
        <brk id="218" max="16383" man="1"/>
        <brk id="219" max="16383" man="1"/>
        <brk id="222" max="16383" man="1"/>
        <brk id="223" max="16383" man="1"/>
        <brk id="225" max="16383" man="1"/>
        <brk id="226" max="16383" man="1"/>
        <brk id="239" max="16383" man="1"/>
        <brk id="240" max="16383" man="1"/>
        <brk id="243" max="16383" man="1"/>
      </rowBreaks>
      <pageMargins left="0.27559055118110237" right="0.15748031496062992" top="0.31496062992125984" bottom="0.39370078740157483" header="0.15748031496062992" footer="0.19685039370078741"/>
      <pageSetup paperSize="9" scale="84" fitToHeight="13" orientation="landscape" blackAndWhite="1" horizontalDpi="4294967292" verticalDpi="4294967292" r:id="rId5"/>
      <headerFooter alignWithMargins="0">
        <oddFooter>&amp;R&amp;"Arial Narrow,обычный"&amp;8Лист &amp;P из &amp;N</oddFooter>
      </headerFooter>
    </customSheetView>
    <customSheetView guid="{14B9A1CF-2355-4181-A84E-C897271F378C}" scale="130" showPageBreaks="1" printArea="1" hiddenRows="1" view="pageBreakPreview" showRuler="0" topLeftCell="A92">
      <selection activeCell="C83" sqref="C83"/>
      <pageMargins left="0.27559055118110237" right="0.19685039370078741" top="0.31496062992125984" bottom="0.39370078740157483" header="0.15748031496062992" footer="0.19685039370078741"/>
      <pageSetup paperSize="9" scale="75" fitToHeight="11" orientation="landscape" blackAndWhite="1" horizontalDpi="4294967292" verticalDpi="4294967292" r:id="rId6"/>
      <headerFooter alignWithMargins="0">
        <oddFooter>&amp;R&amp;"Arial Narrow,обычный"&amp;8Лист &amp;P из &amp;N</oddFooter>
      </headerFooter>
    </customSheetView>
    <customSheetView guid="{CFB674C1-F40C-43C9-AC2B-719C7269531B}" showPageBreaks="1" fitToPage="1" printArea="1" hiddenRows="1" showRuler="0">
      <pane xSplit="2" ySplit="4" topLeftCell="C17" activePane="bottomRight" state="frozenSplit"/>
      <selection pane="bottomRight" activeCell="K17" sqref="K17"/>
      <rowBreaks count="98" manualBreakCount="98">
        <brk id="13" max="13" man="1"/>
        <brk id="14" max="16383" man="1"/>
        <brk id="15" max="13" man="1"/>
        <brk id="16" max="16383" man="1"/>
        <brk id="21" max="13" man="1"/>
        <brk id="26" max="13" man="1"/>
        <brk id="27" max="16383" man="1"/>
        <brk id="28" max="16383" man="1"/>
        <brk id="29" max="16383" man="1"/>
        <brk id="30" max="16383" man="1"/>
        <brk id="38" max="13" man="1"/>
        <brk id="40" max="13" man="1"/>
        <brk id="42" max="13" man="1"/>
        <brk id="43" max="16383" man="1"/>
        <brk id="44" max="16383" man="1"/>
        <brk id="45" max="16" man="1"/>
        <brk id="46" max="13" man="1"/>
        <brk id="47" max="16383" man="1"/>
        <brk id="48" max="13" man="1"/>
        <brk id="49" max="13" man="1"/>
        <brk id="51" max="16383" man="1"/>
        <brk id="52" max="16383" man="1"/>
        <brk id="53" max="16" man="1"/>
        <brk id="54" max="16383" man="1"/>
        <brk id="55" max="13" man="1"/>
        <brk id="57" max="13" man="1"/>
        <brk id="61" max="16383" man="1"/>
        <brk id="62" max="16383" man="1"/>
        <brk id="63" max="16383" man="1"/>
        <brk id="65" max="16" man="1"/>
        <brk id="66" max="13" man="1"/>
        <brk id="67" max="13" man="1"/>
        <brk id="68" max="13" man="1"/>
        <brk id="69" max="13" man="1"/>
        <brk id="70" max="16383" man="1"/>
        <brk id="71" max="13" man="1"/>
        <brk id="73" max="16383" man="1"/>
        <brk id="75" max="16383" man="1"/>
        <brk id="76" max="13" man="1"/>
        <brk id="78" max="13" man="1"/>
        <brk id="80" max="13" man="1"/>
        <brk id="81" max="16383" man="1"/>
        <brk id="82" max="13" man="1"/>
        <brk id="83" max="13" man="1"/>
        <brk id="84" max="16383" man="1"/>
        <brk id="85" max="13" man="1"/>
        <brk id="86" max="16383" man="1"/>
        <brk id="88" max="13" man="1"/>
        <brk id="90" max="13" man="1"/>
        <brk id="91" max="16383" man="1"/>
        <brk id="92" max="13" man="1"/>
        <brk id="93" max="16" man="1"/>
        <brk id="94" max="16383" man="1"/>
        <brk id="95" max="13" man="1"/>
        <brk id="96" max="16383" man="1"/>
        <brk id="98" max="16383" man="1"/>
        <brk id="99" max="13" man="1"/>
        <brk id="100" max="16383" man="1"/>
        <brk id="101" max="16383" man="1"/>
        <brk id="103" max="13" man="1"/>
        <brk id="104" max="16383" man="1"/>
        <brk id="105" max="16383" man="1"/>
        <brk id="106" max="13" man="1"/>
        <brk id="107" max="13" man="1"/>
        <brk id="111" max="13" man="1"/>
        <brk id="116" max="13" man="1"/>
        <brk id="118" max="13" man="1"/>
        <brk id="123" max="13" man="1"/>
        <brk id="126" max="13" man="1"/>
        <brk id="133" max="16383" man="1"/>
        <brk id="134" max="13" man="1"/>
        <brk id="137" max="16383" man="1"/>
        <brk id="139" max="16383" man="1"/>
        <brk id="143" max="13" man="1"/>
        <brk id="146" max="13" man="1"/>
        <brk id="147" max="13" man="1"/>
        <brk id="148" max="16383" man="1"/>
        <brk id="150" max="13" man="1"/>
        <brk id="151" max="13" man="1"/>
        <brk id="154" max="13" man="1"/>
        <brk id="156" max="13" man="1"/>
        <brk id="161" max="13" man="1"/>
        <brk id="163" max="13" man="1"/>
        <brk id="166" max="13" man="1"/>
        <brk id="167" max="13" man="1"/>
        <brk id="169" max="16383" man="1"/>
        <brk id="172" max="16383" man="1"/>
        <brk id="175" max="13" man="1"/>
        <brk id="176" max="13" man="1"/>
        <brk id="177" max="13" man="1"/>
        <brk id="178" max="13" man="1"/>
        <brk id="179" max="13" man="1"/>
        <brk id="182" max="13" man="1"/>
        <brk id="189" max="13" man="1"/>
        <brk id="193" max="13" man="1"/>
        <brk id="200" max="16383" man="1"/>
        <brk id="201" max="16383" man="1"/>
        <brk id="205" max="16383" man="1"/>
      </rowBreaks>
      <pageMargins left="0.27559055118110237" right="0.19685039370078741" top="0.31496062992125984" bottom="0.39370078740157483" header="0.15748031496062992" footer="0.19685039370078741"/>
      <pageSetup paperSize="9" scale="99" fitToHeight="14" orientation="landscape" blackAndWhite="1" horizontalDpi="4294967292" verticalDpi="4294967292" r:id="rId7"/>
      <headerFooter alignWithMargins="0">
        <oddFooter>&amp;R&amp;"Arial Narrow,обычный"&amp;8Лист &amp;P из &amp;N</oddFooter>
      </headerFooter>
    </customSheetView>
    <customSheetView guid="{E64E5F61-FD5E-11DA-AA5B-0004761D6C8E}" fitToPage="1" printArea="1" hiddenRows="1" showRuler="0">
      <pane xSplit="2" ySplit="4" topLeftCell="C107" activePane="bottomRight" state="frozenSplit"/>
      <selection pane="bottomRight" activeCell="D112" sqref="D112"/>
      <rowBreaks count="96" manualBreakCount="96">
        <brk id="13" max="13" man="1"/>
        <brk id="14" max="16383" man="1"/>
        <brk id="16" max="16383" man="1"/>
        <brk id="21" max="13" man="1"/>
        <brk id="26" max="13" man="1"/>
        <brk id="27" max="16383" man="1"/>
        <brk id="28" max="16383" man="1"/>
        <brk id="29" max="16383" man="1"/>
        <brk id="30" max="16383" man="1"/>
        <brk id="38" max="13" man="1"/>
        <brk id="40" max="13" man="1"/>
        <brk id="42" max="13" man="1"/>
        <brk id="43" max="16383" man="1"/>
        <brk id="44" max="16383" man="1"/>
        <brk id="45" max="16" man="1"/>
        <brk id="46" max="13" man="1"/>
        <brk id="47" max="16383" man="1"/>
        <brk id="48" max="13" man="1"/>
        <brk id="49" max="13" man="1"/>
        <brk id="51" max="16383" man="1"/>
        <brk id="52" max="16383" man="1"/>
        <brk id="53" max="16" man="1"/>
        <brk id="54" max="16383" man="1"/>
        <brk id="57" max="13" man="1"/>
        <brk id="61" max="16383" man="1"/>
        <brk id="62" max="16383" man="1"/>
        <brk id="63" max="16383" man="1"/>
        <brk id="65" max="16" man="1"/>
        <brk id="66" max="13" man="1"/>
        <brk id="67" max="13" man="1"/>
        <brk id="68" max="13" man="1"/>
        <brk id="69" max="13" man="1"/>
        <brk id="70" max="16383" man="1"/>
        <brk id="71" max="13" man="1"/>
        <brk id="73" max="16383" man="1"/>
        <brk id="75" max="16383" man="1"/>
        <brk id="76" max="13" man="1"/>
        <brk id="78" max="13" man="1"/>
        <brk id="80" max="13" man="1"/>
        <brk id="81" max="16383" man="1"/>
        <brk id="82" max="13" man="1"/>
        <brk id="83" max="13" man="1"/>
        <brk id="84" max="16383" man="1"/>
        <brk id="85" max="13" man="1"/>
        <brk id="86" max="16383" man="1"/>
        <brk id="88" max="13" man="1"/>
        <brk id="90" max="13" man="1"/>
        <brk id="91" max="16383" man="1"/>
        <brk id="92" max="13" man="1"/>
        <brk id="93" max="16" man="1"/>
        <brk id="94" max="16383" man="1"/>
        <brk id="95" max="13" man="1"/>
        <brk id="96" max="16383" man="1"/>
        <brk id="98" max="16383" man="1"/>
        <brk id="99" max="13" man="1"/>
        <brk id="100" max="16383" man="1"/>
        <brk id="101" max="16383" man="1"/>
        <brk id="103" max="13" man="1"/>
        <brk id="104" max="16383" man="1"/>
        <brk id="105" max="16383" man="1"/>
        <brk id="106" max="13" man="1"/>
        <brk id="107" max="13" man="1"/>
        <brk id="111" max="13" man="1"/>
        <brk id="116" max="13" man="1"/>
        <brk id="118" max="13" man="1"/>
        <brk id="123" max="13" man="1"/>
        <brk id="126" max="13" man="1"/>
        <brk id="133" max="16383" man="1"/>
        <brk id="134" max="13" man="1"/>
        <brk id="137" max="16383" man="1"/>
        <brk id="139" max="16383" man="1"/>
        <brk id="143" max="13" man="1"/>
        <brk id="146" max="13" man="1"/>
        <brk id="147" max="13" man="1"/>
        <brk id="148" max="16383" man="1"/>
        <brk id="150" max="13" man="1"/>
        <brk id="151" max="13" man="1"/>
        <brk id="154" max="13" man="1"/>
        <brk id="156" max="13" man="1"/>
        <brk id="161" max="13" man="1"/>
        <brk id="163" max="13" man="1"/>
        <brk id="166" max="13" man="1"/>
        <brk id="167" max="13" man="1"/>
        <brk id="169" max="16383" man="1"/>
        <brk id="172" max="16383" man="1"/>
        <brk id="175" max="13" man="1"/>
        <brk id="176" max="13" man="1"/>
        <brk id="177" max="13" man="1"/>
        <brk id="178" max="13" man="1"/>
        <brk id="179" max="13" man="1"/>
        <brk id="182" max="13" man="1"/>
        <brk id="189" max="13" man="1"/>
        <brk id="193" max="13" man="1"/>
        <brk id="200" max="16383" man="1"/>
        <brk id="201" max="16383" man="1"/>
        <brk id="205" max="16383" man="1"/>
      </rowBreaks>
      <pageMargins left="0.27559055118110237" right="0.19685039370078741" top="0.31496062992125984" bottom="0.39370078740157483" header="0.15748031496062992" footer="0.19685039370078741"/>
      <pageSetup paperSize="9" fitToHeight="14" orientation="landscape" blackAndWhite="1" horizontalDpi="4294967292" verticalDpi="4294967292" r:id="rId8"/>
      <headerFooter alignWithMargins="0">
        <oddFooter>&amp;R&amp;"Arial Narrow,обычный"&amp;8Лист &amp;P из &amp;N</oddFooter>
      </headerFooter>
    </customSheetView>
    <customSheetView guid="{D8CBB260-8D05-11D7-88E1-00C0268016AF}" scale="120" showPageBreaks="1" showRuler="0">
      <pane xSplit="2" ySplit="4" topLeftCell="C5" activePane="bottomRight" state="frozenSplit"/>
      <selection pane="bottomRight" activeCell="A4" sqref="A4"/>
      <pageMargins left="0.42" right="0.17" top="0.23" bottom="0.28000000000000003" header="0.15748031496062992" footer="0.17"/>
      <pageSetup paperSize="9" orientation="landscape" blackAndWhite="1" horizontalDpi="4294967292" verticalDpi="4294967292" r:id="rId9"/>
      <headerFooter alignWithMargins="0">
        <oddFooter>&amp;R&amp;"Arial Narrow,обычный"&amp;8Лист &amp;P из &amp;N</oddFooter>
      </headerFooter>
    </customSheetView>
    <customSheetView guid="{97B5DCE1-CCA4-11D7-B6CC-0007E980B7D4}" showPageBreaks="1" fitToPage="1" printArea="1" hiddenRows="1" view="pageBreakPreview" showRuler="0">
      <pane xSplit="2" ySplit="4" topLeftCell="C162" activePane="bottomRight" state="frozenSplit"/>
      <selection pane="bottomRight" activeCell="B10" sqref="B10"/>
      <rowBreaks count="11" manualBreakCount="11">
        <brk id="12" max="13" man="1"/>
        <brk id="24" max="13" man="1"/>
        <brk id="36" max="13" man="1"/>
        <brk id="42" max="13" man="1"/>
        <brk id="56" max="13" man="1"/>
        <brk id="67" max="13" man="1"/>
        <brk id="72" max="13" man="1"/>
        <brk id="80" max="13" man="1"/>
        <brk id="105" max="13" man="1"/>
        <brk id="130" max="13" man="1"/>
        <brk id="157" max="13" man="1"/>
      </rowBreaks>
      <pageMargins left="0.27559055118110237" right="0.19685039370078741" top="0.31496062992125984" bottom="0.31496062992125984" header="0.15748031496062992" footer="0.19685039370078741"/>
      <pageSetup paperSize="9" scale="97" fitToHeight="0" orientation="landscape" horizontalDpi="4294967292" verticalDpi="4294967292" r:id="rId10"/>
      <headerFooter alignWithMargins="0">
        <oddFooter>&amp;R&amp;"Arial Narrow,обычный"&amp;8Лист &amp;P из &amp;N</oddFooter>
      </headerFooter>
    </customSheetView>
    <customSheetView guid="{14012921-CBF7-11D7-980F-000102998381}" showPageBreaks="1" showRuler="0">
      <pane xSplit="2" ySplit="4" topLeftCell="D1" activePane="bottomRight"/>
      <selection pane="bottomRight" activeCell="E13" sqref="E13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1"/>
      <headerFooter alignWithMargins="0">
        <oddFooter>&amp;R&amp;"Arial Narrow,обычный"&amp;8Лист &amp;P из &amp;N</oddFooter>
      </headerFooter>
    </customSheetView>
    <customSheetView guid="{B0C63354-C39E-4697-B077-F68D4BA3474A}" showPageBreaks="1" showRuler="0">
      <pane xSplit="2" ySplit="4" topLeftCell="I187" activePane="bottomRight" state="frozenSplit"/>
      <selection pane="bottomRight" activeCell="K197" sqref="K197"/>
      <pageMargins left="0.27" right="0.2" top="0.32" bottom="0.32" header="0.17" footer="0.19"/>
      <pageSetup paperSize="9" orientation="landscape" horizontalDpi="4294967292" verticalDpi="4294967292" r:id="rId12"/>
      <headerFooter alignWithMargins="0">
        <oddFooter>&amp;R&amp;"Arial Narrow,обычный"&amp;8Лист &amp;P из &amp;N</oddFooter>
      </headerFooter>
    </customSheetView>
    <customSheetView guid="{8F58F720-5478-11D7-8E43-00002120D636}" showPageBreaks="1" printArea="1" showRuler="0">
      <pane xSplit="2" ySplit="4" topLeftCell="C90" activePane="bottomRight" state="frozenSplit"/>
      <selection pane="bottomRight" activeCell="E96" sqref="E96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3"/>
      <headerFooter alignWithMargins="0">
        <oddFooter>&amp;R&amp;"Arial Narrow,обычный"&amp;8Лист &amp;P из &amp;N</oddFooter>
      </headerFooter>
    </customSheetView>
    <customSheetView guid="{92DADDC1-9BFC-11D7-B114-000102998381}" showRuler="0">
      <pane xSplit="2" ySplit="4" topLeftCell="D88" activePane="bottomRight" state="frozenSplit"/>
      <selection pane="bottomRight" activeCell="N98" sqref="N98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4"/>
      <headerFooter alignWithMargins="0">
        <oddFooter>&amp;R&amp;"Arial Narrow,обычный"&amp;8Лист &amp;P из &amp;N</oddFooter>
      </headerFooter>
    </customSheetView>
    <customSheetView guid="{CD228F81-555E-11D7-A5BE-0050BF58DBA5}" showPageBreaks="1" showRuler="0">
      <pane xSplit="2" ySplit="4" topLeftCell="K86" activePane="bottomRight" state="frozenSplit"/>
      <selection pane="bottomRight" activeCell="N91" sqref="N91"/>
      <pageMargins left="0.27" right="0.2" top="0.32" bottom="0.32" header="0.17" footer="0.19"/>
      <pageSetup paperSize="9" orientation="landscape" horizontalDpi="4294967292" verticalDpi="4294967292" r:id="rId15"/>
      <headerFooter alignWithMargins="0">
        <oddFooter>&amp;R&amp;"Arial Narrow,обычный"&amp;8Лист &amp;P из &amp;N</oddFooter>
      </headerFooter>
    </customSheetView>
    <customSheetView guid="{DCFE9E60-5475-11D7-802E-0050224027E0}" showPageBreaks="1" showRuler="0">
      <pane xSplit="2" ySplit="4" topLeftCell="K180" activePane="bottomRight" state="frozenSplit"/>
      <selection pane="bottomRight" activeCell="K193" sqref="K193"/>
      <pageMargins left="0.27" right="0.2" top="0.32" bottom="0.32" header="0.17" footer="0.19"/>
      <pageSetup paperSize="9" orientation="landscape" horizontalDpi="4294967292" verticalDpi="4294967292" r:id="rId16"/>
      <headerFooter alignWithMargins="0">
        <oddFooter>&amp;R&amp;"Arial Narrow,обычный"&amp;8Лист &amp;P из &amp;N</oddFooter>
      </headerFooter>
    </customSheetView>
    <customSheetView guid="{AE4F8834-9834-4486-A1C0-FEF04E11EC4A}" showRuler="0">
      <pane xSplit="2" ySplit="4" topLeftCell="C167" activePane="bottomRight" state="frozenSplit"/>
      <selection pane="bottomRight" activeCell="E184" sqref="E184"/>
      <pageMargins left="0.27" right="0.2" top="0.32" bottom="0.32" header="0.17" footer="0.19"/>
      <pageSetup paperSize="9" orientation="landscape" horizontalDpi="4294967292" verticalDpi="4294967292" r:id="rId17"/>
      <headerFooter alignWithMargins="0">
        <oddFooter>&amp;R&amp;"Arial Narrow,обычный"&amp;8Лист &amp;P из &amp;N</oddFooter>
      </headerFooter>
    </customSheetView>
    <customSheetView guid="{735893B7-5E6F-4E87-8F79-7422E435EC59}" scale="90" showPageBreaks="1" printArea="1" showRuler="0">
      <pane xSplit="2" ySplit="6" topLeftCell="C109" activePane="bottomRight" state="frozen"/>
      <selection pane="bottomRight" activeCell="B95" sqref="B95"/>
      <colBreaks count="2" manualBreakCount="2">
        <brk id="13" max="208" man="1"/>
        <brk id="14" max="1048575" man="1"/>
      </colBreaks>
      <pageMargins left="0.27559055118110237" right="0.19685039370078741" top="0.31496062992125984" bottom="0.31496062992125984" header="0.15748031496062992" footer="0.19685039370078741"/>
      <pageSetup paperSize="9" scale="94" orientation="landscape" horizontalDpi="4294967292" verticalDpi="4294967292" r:id="rId18"/>
      <headerFooter alignWithMargins="0">
        <oddFooter>&amp;R&amp;"Arial Narrow,обычный"&amp;8Лист &amp;P из &amp;N</oddFooter>
      </headerFooter>
    </customSheetView>
    <customSheetView guid="{88FCA060-646D-11D8-9232-00C0268CB387}" showPageBreaks="1" printArea="1" hiddenRows="1" view="pageBreakPreview" showRuler="0">
      <pane xSplit="2" ySplit="4" topLeftCell="C75" activePane="bottomRight" state="frozenSplit"/>
      <selection pane="bottomRight" activeCell="K78" sqref="K78"/>
      <rowBreaks count="16" manualBreakCount="16">
        <brk id="12" max="13" man="1"/>
        <brk id="24" max="13" man="1"/>
        <brk id="36" max="13" man="1"/>
        <brk id="42" max="13" man="1"/>
        <brk id="52" max="13" man="1"/>
        <brk id="53" max="13" man="1"/>
        <brk id="60" max="13" man="1"/>
        <brk id="61" max="13" man="1"/>
        <brk id="71" max="13" man="1"/>
        <brk id="78" max="13" man="1"/>
        <brk id="79" max="13" man="1"/>
        <brk id="80" max="16383" man="1"/>
        <brk id="105" max="13" man="1"/>
        <brk id="128" max="13" man="1"/>
        <brk id="131" max="13" man="1"/>
        <brk id="158" max="13" man="1"/>
      </rowBreaks>
      <colBreaks count="2" manualBreakCount="2">
        <brk id="13" max="177" man="1"/>
        <brk id="14" max="1048575" man="1"/>
      </colBreaks>
      <pageMargins left="0.27559055118110237" right="0.19685039370078741" top="0.31496062992125984" bottom="0.31496062992125984" header="0.15748031496062992" footer="0.19685039370078741"/>
      <pageSetup paperSize="9" fitToHeight="15" orientation="landscape" horizontalDpi="4294967292" verticalDpi="4294967292" r:id="rId19"/>
      <headerFooter alignWithMargins="0">
        <oddFooter>&amp;R&amp;"Arial Narrow,обычный"&amp;8Лист &amp;P из &amp;N</oddFooter>
      </headerFooter>
    </customSheetView>
    <customSheetView guid="{3EDC6120-9ECF-11DA-86FE-0007E980B6BD}" showPageBreaks="1" fitToPage="1" showRuler="0">
      <pane xSplit="2" ySplit="4" topLeftCell="C176" activePane="bottomRight" state="frozenSplit"/>
      <selection pane="bottomRight" activeCell="D185" sqref="D185"/>
      <rowBreaks count="90" manualBreakCount="90">
        <brk id="13" max="16383" man="1"/>
        <brk id="14" max="16383" man="1"/>
        <brk id="21" max="13" man="1"/>
        <brk id="26" max="16383" man="1"/>
        <brk id="27" max="16383" man="1"/>
        <brk id="28" max="16383" man="1"/>
        <brk id="29" max="13" man="1"/>
        <brk id="30" max="13" man="1"/>
        <brk id="38" max="13" man="1"/>
        <brk id="39" max="16383" man="1"/>
        <brk id="40" max="16383" man="1"/>
        <brk id="42" max="16383" man="1"/>
        <brk id="43" max="13" man="1"/>
        <brk id="44" max="16383" man="1"/>
        <brk id="45" max="13" man="1"/>
        <brk id="47" max="13" man="1"/>
        <brk id="48" max="16383" man="1"/>
        <brk id="49" max="16383" man="1"/>
        <brk id="52" max="16383" man="1"/>
        <brk id="53" max="13" man="1"/>
        <brk id="54" max="16383" man="1"/>
        <brk id="55" max="13" man="1"/>
        <brk id="56" max="16383" man="1"/>
        <brk id="59" max="16383" man="1"/>
        <brk id="63" max="13" man="1"/>
        <brk id="64" max="16383" man="1"/>
        <brk id="65" max="13" man="1"/>
        <brk id="66" max="16383" man="1"/>
        <brk id="67" max="13" man="1"/>
        <brk id="68" max="16383" man="1"/>
        <brk id="69" max="16383" man="1"/>
        <brk id="72" max="13" man="1"/>
        <brk id="74" max="13" man="1"/>
        <brk id="75" max="16383" man="1"/>
        <brk id="76" max="16383" man="1"/>
        <brk id="77" max="16383" man="1"/>
        <brk id="79" max="13" man="1"/>
        <brk id="82" max="13" man="1"/>
        <brk id="86" max="13" man="1"/>
        <brk id="87" max="13" man="1"/>
        <brk id="88" max="16383" man="1"/>
        <brk id="89" max="16383" man="1"/>
        <brk id="90" max="16383" man="1"/>
        <brk id="92" max="13" man="1"/>
        <brk id="93" max="13" man="1"/>
        <brk id="94" max="13" man="1"/>
        <brk id="95" max="16383" man="1"/>
        <brk id="96" max="13" man="1"/>
        <brk id="98" max="16383" man="1"/>
        <brk id="103" max="16383" man="1"/>
        <brk id="104" max="13" man="1"/>
        <brk id="106" max="13" man="1"/>
        <brk id="111" max="13" man="1"/>
        <brk id="112" max="16383" man="1"/>
        <brk id="114" max="16383" man="1"/>
        <brk id="118" max="16383" man="1"/>
        <brk id="119" max="16383" man="1"/>
        <brk id="121" max="13" man="1"/>
        <brk id="122" max="13" man="1"/>
        <brk id="123" max="13" man="1"/>
        <brk id="124" max="13" man="1"/>
        <brk id="125" max="13" man="1"/>
        <brk id="132" max="16383" man="1"/>
        <brk id="135" max="13" man="1"/>
        <brk id="137" max="13" man="1"/>
        <brk id="143" max="16383" man="1"/>
        <brk id="144" max="16383" man="1"/>
        <brk id="146" max="16383" man="1"/>
        <brk id="147" max="16383" man="1"/>
        <brk id="149" max="16383" man="1"/>
        <brk id="151" max="16383" man="1"/>
        <brk id="153" max="13" man="1"/>
        <brk id="155" max="13" man="1"/>
        <brk id="156" max="13" man="1"/>
        <brk id="163" max="13" man="1"/>
        <brk id="164" max="16383" man="1"/>
        <brk id="166" max="13" man="1"/>
        <brk id="172" max="13" man="1"/>
        <brk id="175" max="13" man="1"/>
        <brk id="176" max="13" man="1"/>
        <brk id="177" max="16383" man="1"/>
        <brk id="179" max="13" man="1"/>
        <brk id="180" max="13" man="1"/>
        <brk id="181" max="16383" man="1"/>
        <brk id="182" max="16383" man="1"/>
        <brk id="183" max="13" man="1"/>
        <brk id="184" max="13" man="1"/>
        <brk id="193" max="16383" man="1"/>
        <brk id="206" max="13" man="1"/>
        <brk id="223" max="16383" man="1"/>
      </rowBreaks>
      <pageMargins left="0.27559055118110237" right="0.19685039370078741" top="0.33" bottom="0.4" header="0.15748031496062992" footer="0.19685039370078741"/>
      <pageSetup paperSize="9" scale="85" fitToHeight="18" orientation="landscape" blackAndWhite="1" horizontalDpi="4294967292" verticalDpi="4294967292" r:id="rId20"/>
      <headerFooter alignWithMargins="0">
        <oddFooter>&amp;R&amp;"Arial Narrow,обычный"&amp;8Лист &amp;P из &amp;N</oddFooter>
      </headerFooter>
    </customSheetView>
    <customSheetView guid="{A91D99C2-8122-48C0-91AB-172E51C62B1D}" showPageBreaks="1" fitToPage="1" printArea="1" hiddenRows="1" showRuler="0" topLeftCell="B1">
      <pane ySplit="4" topLeftCell="A5" activePane="bottomLeft" state="frozen"/>
      <selection pane="bottomLeft" activeCell="B14" sqref="B14"/>
      <rowBreaks count="20" manualBreakCount="20">
        <brk id="14" max="13" man="1"/>
        <brk id="28" max="13" man="1"/>
        <brk id="43" max="16383" man="1"/>
        <brk id="52" max="13" man="1"/>
        <brk id="53" max="13" man="1"/>
        <brk id="63" max="16383" man="1"/>
        <brk id="76" max="16383" man="1"/>
        <brk id="92" max="13" man="1"/>
        <brk id="98" max="13" man="1"/>
        <brk id="99" max="13" man="1"/>
        <brk id="108" max="13" man="1"/>
        <brk id="114" max="13" man="1"/>
        <brk id="130" max="13" man="1"/>
        <brk id="132" max="13" man="1"/>
        <brk id="171" max="13" man="1"/>
        <brk id="173" max="13" man="1"/>
        <brk id="206" max="13" man="1"/>
        <brk id="209" max="13" man="1"/>
        <brk id="231" max="13" man="1"/>
        <brk id="239" max="16383" man="1"/>
      </rowBreaks>
      <colBreaks count="1" manualBreakCount="1">
        <brk id="14" max="1048575" man="1"/>
      </colBreaks>
      <pageMargins left="0.19685039370078741" right="0.19685039370078741" top="0.31496062992125984" bottom="0.39370078740157483" header="0.15748031496062992" footer="0.19685039370078741"/>
      <pageSetup paperSize="9" scale="95" fitToHeight="17" orientation="landscape" blackAndWhite="1" horizontalDpi="4294967292" verticalDpi="4294967292" r:id="rId21"/>
      <headerFooter alignWithMargins="0">
        <oddFooter>&amp;R&amp;"Arial Narrow,обычный"&amp;8Лист &amp;P из &amp;N</oddFooter>
      </headerFooter>
    </customSheetView>
    <customSheetView guid="{10971261-6A6B-11D7-802E-0050224027E0}" showPageBreaks="1" fitToPage="1" printArea="1" view="pageBreakPreview" showRuler="0">
      <pane xSplit="2" ySplit="4" topLeftCell="C214" activePane="bottomRight" state="frozenSplit"/>
      <selection pane="bottomRight" activeCell="C201" sqref="C201"/>
      <rowBreaks count="67" manualBreakCount="67">
        <brk id="12" max="13" man="1"/>
        <brk id="13" max="13" man="1"/>
        <brk id="14" max="13" man="1"/>
        <brk id="19" max="13" man="1"/>
        <brk id="20" max="13" man="1"/>
        <brk id="23" max="13" man="1"/>
        <brk id="25" max="13" man="1"/>
        <brk id="26" max="13" man="1"/>
        <brk id="29" max="13" man="1"/>
        <brk id="32" max="13" man="1"/>
        <brk id="34" max="13" man="1"/>
        <brk id="37" max="13" man="1"/>
        <brk id="39" max="13" man="1"/>
        <brk id="40" max="13" man="1"/>
        <brk id="42" max="13" man="1"/>
        <brk id="45" max="13" man="1"/>
        <brk id="47" max="13" man="1"/>
        <brk id="50" max="13" man="1"/>
        <brk id="51" max="13" man="1"/>
        <brk id="55" max="13" man="1"/>
        <brk id="57" max="13" man="1"/>
        <brk id="58" max="13" man="1"/>
        <brk id="60" max="13" man="1"/>
        <brk id="61" max="13" man="1"/>
        <brk id="66" max="13" man="1"/>
        <brk id="68" max="13" man="1"/>
        <brk id="69" max="13" man="1"/>
        <brk id="70" max="13" man="1"/>
        <brk id="71" max="13" man="1"/>
        <brk id="74" max="13" man="1"/>
        <brk id="75" max="13" man="1"/>
        <brk id="77" max="13" man="1"/>
        <brk id="83" max="13" man="1"/>
        <brk id="85" max="13" man="1"/>
        <brk id="91" max="13" man="1"/>
        <brk id="93" max="13" man="1"/>
        <brk id="98" max="13" man="1"/>
        <brk id="99" max="13" man="1"/>
        <brk id="100" max="13" man="1"/>
        <brk id="102" max="13" man="1"/>
        <brk id="106" max="13" man="1"/>
        <brk id="107" max="13" man="1"/>
        <brk id="110" max="13" man="1"/>
        <brk id="112" max="13" man="1"/>
        <brk id="115" max="13" man="1"/>
        <brk id="117" max="13" man="1"/>
        <brk id="119" max="13" man="1"/>
        <brk id="127" max="13" man="1"/>
        <brk id="129" max="13" man="1"/>
        <brk id="130" max="13" man="1"/>
        <brk id="140" max="13" man="1"/>
        <brk id="147" max="13" man="1"/>
        <brk id="148" max="13" man="1"/>
        <brk id="160" max="13" man="1"/>
        <brk id="161" max="13" man="1"/>
        <brk id="163" max="13" man="1"/>
        <brk id="167" max="13" man="1"/>
        <brk id="182" max="13" man="1"/>
        <brk id="190" max="13" man="1"/>
        <brk id="191" max="13" man="1"/>
        <brk id="192" max="13" man="1"/>
        <brk id="210" max="13" man="1"/>
        <brk id="215" max="13" man="1"/>
        <brk id="216" max="13" man="1"/>
        <brk id="227" max="13" man="1"/>
        <brk id="232" max="13" man="1"/>
        <brk id="233" max="13" man="1"/>
      </rowBreaks>
      <pageMargins left="0.27559055118110237" right="0.19685039370078741" top="0.33" bottom="0.4" header="0.15748031496062992" footer="0.19685039370078741"/>
      <pageSetup paperSize="9" scale="95" fitToHeight="18" orientation="landscape" blackAndWhite="1" horizontalDpi="4294967292" verticalDpi="4294967292" r:id="rId22"/>
      <headerFooter alignWithMargins="0">
        <oddFooter>&amp;R&amp;"Arial Narrow,обычный"&amp;8Лист &amp;P из &amp;N</oddFooter>
      </headerFooter>
    </customSheetView>
    <customSheetView guid="{4F278C51-CC0C-4908-B19B-FD853FE30C23}" showPageBreaks="1" fitToPage="1" printArea="1" hiddenRows="1" view="pageBreakPreview" showRuler="0">
      <pane ySplit="4" topLeftCell="A5" activePane="bottomLeft" state="frozen"/>
      <selection pane="bottomLeft" activeCell="A17" activeCellId="15" sqref="A92:IV92 A89:IV89 A85:IV86 A74:IV75 A64:IV64 A61:IV61 A54:IV56 A46:IV46 A43:IV43 A41:IV41 A37:IV37 A35:IV35 A34:IV34 A25:IV26 A23:IV23 A16:IV17"/>
      <pageMargins left="0.19685039370078741" right="0.19685039370078741" top="0.31496062992125984" bottom="0.39370078740157483" header="0.15748031496062992" footer="0.19685039370078741"/>
      <pageSetup paperSize="9" scale="94" fitToHeight="0" orientation="landscape" blackAndWhite="1" horizontalDpi="4294967292" verticalDpi="4294967292" r:id="rId23"/>
      <headerFooter alignWithMargins="0">
        <oddFooter>&amp;R&amp;"Arial Narrow,обычный"&amp;8Лист &amp;P из &amp;N</oddFooter>
      </headerFooter>
    </customSheetView>
    <customSheetView guid="{19D3A214-C4D6-4FE6-9A50-A9E846DFEC72}" fitToPage="1" printArea="1" view="pageBreakPreview" showRuler="0" topLeftCell="A43">
      <selection activeCell="C68" sqref="C68"/>
      <rowBreaks count="97" manualBreakCount="97">
        <brk id="13" max="10" man="1"/>
        <brk id="15" max="10" man="1"/>
        <brk id="17" max="16383" man="1"/>
        <brk id="22" max="10" man="1"/>
        <brk id="25" max="10" man="1"/>
        <brk id="27" max="10" man="1"/>
        <brk id="28" max="10" man="1"/>
        <brk id="29" max="10" man="1"/>
        <brk id="30" max="10" man="1"/>
        <brk id="31" max="10" man="1"/>
        <brk id="32" max="10" man="1"/>
        <brk id="34" max="10" man="1"/>
        <brk id="36" max="16383" man="1"/>
        <brk id="38" max="10" man="1"/>
        <brk id="39" max="10" man="1"/>
        <brk id="41" max="10" man="1"/>
        <brk id="43" max="10" man="1"/>
        <brk id="44" max="16383" man="1"/>
        <brk id="45" max="10" man="1"/>
        <brk id="47" max="10" man="1"/>
        <brk id="48" max="10" man="1"/>
        <brk id="49" max="10" man="1"/>
        <brk id="50" max="10" man="1"/>
        <brk id="51" max="16383" man="1"/>
        <brk id="53" max="10" man="1"/>
        <brk id="54" max="10" man="1"/>
        <brk id="55" max="10" man="1"/>
        <brk id="56" max="10" man="1"/>
        <brk id="59" max="10" man="1"/>
        <brk id="63" max="10" man="1"/>
        <brk id="64" max="10" man="1"/>
        <brk id="65" max="16383" man="1"/>
        <brk id="66" max="10" man="1"/>
        <brk id="67" max="16383" man="1"/>
        <brk id="68" max="10" man="1"/>
        <brk id="69" max="10" man="1"/>
        <brk id="70" max="10" man="1"/>
        <brk id="71" max="10" man="1"/>
        <brk id="72" max="10" man="1"/>
        <brk id="73" max="10" man="1"/>
        <brk id="74" max="10" man="1"/>
        <brk id="76" max="16383" man="1"/>
        <brk id="77" max="10" man="1"/>
        <brk id="78" max="10" man="1"/>
        <brk id="79" max="10" man="1"/>
        <brk id="81" max="16383" man="1"/>
        <brk id="82" max="10" man="1"/>
        <brk id="83" max="10" man="1"/>
        <brk id="84" max="10" man="1"/>
        <brk id="85" max="10" man="1"/>
        <brk id="87" max="10" man="1"/>
        <brk id="88" max="10" man="1"/>
        <brk id="90" max="10" man="1"/>
        <brk id="91" max="16383" man="1"/>
        <brk id="92" max="10" man="1"/>
        <brk id="94" max="10" man="1"/>
        <brk id="95" max="10" man="1"/>
        <brk id="96" max="10" man="1"/>
        <brk id="97" max="16383" man="1"/>
        <brk id="99" max="10" man="1"/>
        <brk id="100" max="10" man="1"/>
        <brk id="101" max="10" man="1"/>
        <brk id="103" max="10" man="1"/>
        <brk id="104" max="16383" man="1"/>
        <brk id="105" max="16383" man="1"/>
        <brk id="107" max="10" man="1"/>
        <brk id="108" max="13" man="1"/>
        <brk id="109" max="16383" man="1"/>
        <brk id="110" max="13" man="1"/>
        <brk id="112" max="13" man="1"/>
        <brk id="115" max="13" man="1"/>
        <brk id="116" max="13" man="1"/>
        <brk id="118" max="13" man="1"/>
        <brk id="119" max="13" man="1"/>
        <brk id="126" max="13" man="1"/>
        <brk id="132" max="13" man="1"/>
        <brk id="133" max="13" man="1"/>
        <brk id="134" max="13" man="1"/>
        <brk id="137" max="13" man="1"/>
        <brk id="138" max="16383" man="1"/>
        <brk id="141" max="13" man="1"/>
        <brk id="143" max="16383" man="1"/>
        <brk id="145" max="16383" man="1"/>
        <brk id="146" max="13" man="1"/>
        <brk id="147" max="13" man="1"/>
        <brk id="148" max="13" man="1"/>
        <brk id="154" max="13" man="1"/>
        <brk id="156" max="13" man="1"/>
        <brk id="161" max="13" man="1"/>
        <brk id="163" max="13" man="1"/>
        <brk id="166" max="13" man="1"/>
        <brk id="168" max="13" man="1"/>
        <brk id="176" max="13" man="1"/>
        <brk id="177" max="16383" man="1"/>
        <brk id="185" max="13" man="1"/>
        <brk id="189" max="13" man="1"/>
        <brk id="197" max="13" man="1"/>
      </rowBreaks>
      <pageMargins left="0.27559055118110237" right="0.19685039370078741" top="0.33" bottom="0.4" header="0.15748031496062992" footer="0.19685039370078741"/>
      <pageSetup paperSize="9" fitToHeight="14" orientation="landscape" blackAndWhite="1" horizontalDpi="4294967292" verticalDpi="4294967292" r:id="rId24"/>
      <headerFooter alignWithMargins="0">
        <oddFooter>&amp;R&amp;"Arial Narrow,обычный"&amp;8Лист &amp;P из &amp;N</oddFooter>
      </headerFooter>
    </customSheetView>
    <customSheetView guid="{A3331C67-8A36-4D51-83F9-2D71D6F5E7BA}" fitToPage="1" showRuler="0" topLeftCell="A67">
      <selection activeCell="E107" sqref="E107"/>
      <rowBreaks count="42" manualBreakCount="42">
        <brk id="13" max="13" man="1"/>
        <brk id="15" max="16383" man="1"/>
        <brk id="19" max="13" man="1"/>
        <brk id="22" max="13" man="1"/>
        <brk id="24" max="13" man="1"/>
        <brk id="25" max="13" man="1"/>
        <brk id="26" max="16383" man="1"/>
        <brk id="28" max="13" man="1"/>
        <brk id="29" max="13" man="1"/>
        <brk id="30" max="13" man="1"/>
        <brk id="31" max="13" man="1"/>
        <brk id="32" max="16383" man="1"/>
        <brk id="34" max="13" man="1"/>
        <brk id="35" max="13" man="1"/>
        <brk id="36" max="16383" man="1"/>
        <brk id="39" max="16383" man="1"/>
        <brk id="40" max="13" man="1"/>
        <brk id="41" max="13" man="1"/>
        <brk id="42" max="13" man="1"/>
        <brk id="44" max="13" man="1"/>
        <brk id="45" max="13" man="1"/>
        <brk id="46" max="13" man="1"/>
        <brk id="47" max="13" man="1"/>
        <brk id="50" max="13" man="1"/>
        <brk id="51" max="16383" man="1"/>
        <brk id="54" max="13" man="1"/>
        <brk id="69" max="16383" man="1"/>
        <brk id="71" max="16383" man="1"/>
        <brk id="72" max="13" man="1"/>
        <brk id="73" max="13" man="1"/>
        <brk id="74" max="13" man="1"/>
        <brk id="76" max="13" man="1"/>
        <brk id="81" max="13" man="1"/>
        <brk id="83" max="13" man="1"/>
        <brk id="90" max="16383" man="1"/>
        <brk id="91" max="13" man="1"/>
        <brk id="93" max="13" man="1"/>
        <brk id="94" max="13" man="1"/>
        <brk id="97" max="13" man="1"/>
        <brk id="102" max="13" man="1"/>
        <brk id="106" max="13" man="1"/>
        <brk id="114" max="13" man="1"/>
      </rowBreaks>
      <pageMargins left="0.27559055118110237" right="0.19685039370078741" top="0.33" bottom="0.4" header="0.15748031496062992" footer="0.19685039370078741"/>
      <pageSetup paperSize="9" scale="92" fitToHeight="14" orientation="landscape" blackAndWhite="1" horizontalDpi="4294967292" verticalDpi="4294967292" r:id="rId25"/>
      <headerFooter alignWithMargins="0">
        <oddFooter>&amp;R&amp;"Arial Narrow,обычный"&amp;8Лист &amp;P из &amp;N</oddFooter>
      </headerFooter>
    </customSheetView>
    <customSheetView guid="{DD5C3F45-D2CB-45EC-9051-F348430664E8}" scale="110" fitToPage="1" printArea="1" hiddenRows="1" hiddenColumns="1" showRuler="0">
      <pane ySplit="5" topLeftCell="A138" activePane="bottomLeft" state="frozenSplit"/>
      <selection pane="bottomLeft" activeCell="F153" sqref="F153"/>
      <rowBreaks count="66" manualBreakCount="66">
        <brk id="13" max="16383" man="1"/>
        <brk id="18" max="12" man="1"/>
        <brk id="21" max="12" man="1"/>
        <brk id="23" max="12" man="1"/>
        <brk id="27" max="12" man="1"/>
        <brk id="29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7" max="12" man="1"/>
        <brk id="78" max="12" man="1"/>
        <brk id="79" max="12" man="1"/>
        <brk id="82" max="12" man="1"/>
        <brk id="94" max="16383" man="1"/>
        <brk id="102" max="12" man="1"/>
        <brk id="103" max="16383" man="1"/>
        <brk id="106" max="12" man="1"/>
        <brk id="112" max="12" man="1"/>
        <brk id="113" max="12" man="1"/>
        <brk id="167" max="12" man="1"/>
        <brk id="175" max="12" man="1"/>
        <brk id="176" max="12" man="1"/>
        <brk id="177" max="16383" man="1"/>
        <brk id="179" max="12" man="1"/>
        <brk id="180" max="12" man="1"/>
        <brk id="183" max="16383" man="1"/>
        <brk id="184" max="16383" man="1"/>
        <brk id="187" max="13" man="1"/>
        <brk id="188" max="16383" man="1"/>
        <brk id="189" max="13" man="1"/>
        <brk id="191" max="13" man="1"/>
        <brk id="194" max="13" man="1"/>
        <brk id="195" max="13" man="1"/>
        <brk id="197" max="13" man="1"/>
        <brk id="198" max="13" man="1"/>
        <brk id="205" max="13" man="1"/>
        <brk id="211" max="13" man="1"/>
        <brk id="212" max="13" man="1"/>
        <brk id="213" max="13" man="1"/>
        <brk id="216" max="13" man="1"/>
        <brk id="217" max="16383" man="1"/>
        <brk id="220" max="13" man="1"/>
        <brk id="222" max="16383" man="1"/>
        <brk id="224" max="16383" man="1"/>
        <brk id="225" max="13" man="1"/>
        <brk id="226" max="13" man="1"/>
        <brk id="227" max="13" man="1"/>
        <brk id="233" max="13" man="1"/>
        <brk id="235" max="13" man="1"/>
        <brk id="240" max="13" man="1"/>
        <brk id="242" max="13" man="1"/>
        <brk id="245" max="13" man="1"/>
        <brk id="247" max="13" man="1"/>
        <brk id="255" max="13" man="1"/>
        <brk id="256" max="16383" man="1"/>
        <brk id="264" max="13" man="1"/>
        <brk id="268" max="13" man="1"/>
        <brk id="276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14" orientation="landscape" blackAndWhite="1" horizontalDpi="4294967292" verticalDpi="4294967292" r:id="rId26"/>
      <headerFooter alignWithMargins="0">
        <oddFooter>&amp;R&amp;"Arial Narrow,обычный"&amp;8Лист &amp;P из &amp;N</oddFooter>
      </headerFooter>
    </customSheetView>
    <customSheetView guid="{91C1DC54-C312-471D-9246-B789B002B742}" fitToPage="1" printArea="1" hiddenRows="1" showRuler="0">
      <pane ySplit="5" topLeftCell="A135" activePane="bottomLeft" state="frozenSplit"/>
      <selection pane="bottomLeft" activeCell="F148" sqref="F148"/>
      <rowBreaks count="66" manualBreakCount="66">
        <brk id="13" max="16383" man="1"/>
        <brk id="18" max="12" man="1"/>
        <brk id="21" max="12" man="1"/>
        <brk id="23" max="12" man="1"/>
        <brk id="27" max="12" man="1"/>
        <brk id="29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2" max="12" man="1"/>
        <brk id="53" max="12" man="1"/>
        <brk id="57" max="12" man="1"/>
        <brk id="73" max="12" man="1"/>
        <brk id="75" max="12" man="1"/>
        <brk id="76" max="12" man="1"/>
        <brk id="79" max="12" man="1"/>
        <brk id="89" max="16383" man="1"/>
        <brk id="95" max="12" man="1"/>
        <brk id="96" max="16383" man="1"/>
        <brk id="99" max="12" man="1"/>
        <brk id="105" max="12" man="1"/>
        <brk id="106" max="12" man="1"/>
        <brk id="166" max="12" man="1"/>
        <brk id="174" max="12" man="1"/>
        <brk id="175" max="12" man="1"/>
        <brk id="176" max="16383" man="1"/>
        <brk id="178" max="12" man="1"/>
        <brk id="179" max="12" man="1"/>
        <brk id="182" max="16383" man="1"/>
        <brk id="183" max="16383" man="1"/>
        <brk id="186" max="13" man="1"/>
        <brk id="187" max="16383" man="1"/>
        <brk id="188" max="13" man="1"/>
        <brk id="190" max="13" man="1"/>
        <brk id="193" max="13" man="1"/>
        <brk id="194" max="13" man="1"/>
        <brk id="196" max="13" man="1"/>
        <brk id="197" max="13" man="1"/>
        <brk id="204" max="13" man="1"/>
        <brk id="210" max="13" man="1"/>
        <brk id="211" max="13" man="1"/>
        <brk id="212" max="13" man="1"/>
        <brk id="215" max="13" man="1"/>
        <brk id="216" max="16383" man="1"/>
        <brk id="219" max="13" man="1"/>
        <brk id="221" max="16383" man="1"/>
        <brk id="223" max="16383" man="1"/>
        <brk id="224" max="13" man="1"/>
        <brk id="225" max="13" man="1"/>
        <brk id="226" max="13" man="1"/>
        <brk id="232" max="13" man="1"/>
        <brk id="234" max="13" man="1"/>
        <brk id="239" max="13" man="1"/>
        <brk id="241" max="13" man="1"/>
        <brk id="244" max="13" man="1"/>
        <brk id="246" max="13" man="1"/>
        <brk id="254" max="13" man="1"/>
        <brk id="255" max="16383" man="1"/>
        <brk id="263" max="13" man="1"/>
        <brk id="267" max="13" man="1"/>
        <brk id="275" max="13" man="1"/>
      </rowBreaks>
      <pageMargins left="0.27559055118110237" right="0.19685039370078741" top="0.31496062992125984" bottom="0.39370078740157483" header="0.15748031496062992" footer="0.19685039370078741"/>
      <pageSetup paperSize="9" scale="88" fitToHeight="14" orientation="landscape" blackAndWhite="1" horizontalDpi="4294967292" verticalDpi="4294967292" r:id="rId27"/>
      <headerFooter alignWithMargins="0">
        <oddFooter>&amp;R&amp;"Arial Narrow,обычный"&amp;8Лист &amp;P из &amp;N</oddFooter>
      </headerFooter>
    </customSheetView>
    <customSheetView guid="{C76330A2-057D-4E27-B720-532A3C304D14}" scale="110" fitToPage="1" printArea="1" hiddenRows="1" showRuler="0">
      <pane ySplit="5" topLeftCell="A38" activePane="bottomLeft" state="frozenSplit"/>
      <selection pane="bottomLeft" activeCell="A42" sqref="A42:B42"/>
      <rowBreaks count="66" manualBreakCount="66">
        <brk id="13" max="16383" man="1"/>
        <brk id="18" max="12" man="1"/>
        <brk id="21" max="12" man="1"/>
        <brk id="23" max="12" man="1"/>
        <brk id="29" max="12" man="1"/>
        <brk id="35" max="16383" man="1"/>
        <brk id="46" max="12" man="1"/>
        <brk id="47" max="12" man="1"/>
        <brk id="48" max="12" man="1"/>
        <brk id="49" max="12" man="1"/>
        <brk id="50" max="16383" man="1"/>
        <brk id="51" max="12" man="1"/>
        <brk id="52" max="12" man="1"/>
        <brk id="54" max="12" man="1"/>
        <brk id="55" max="12" man="1"/>
        <brk id="56" max="12" man="1"/>
        <brk id="60" max="12" man="1"/>
        <brk id="76" max="12" man="1"/>
        <brk id="77" max="12" man="1"/>
        <brk id="78" max="12" man="1"/>
        <brk id="81" max="12" man="1"/>
        <brk id="90" max="16383" man="1"/>
        <brk id="98" max="12" man="1"/>
        <brk id="99" max="16383" man="1"/>
        <brk id="102" max="12" man="1"/>
        <brk id="108" max="12" man="1"/>
        <brk id="109" max="12" man="1"/>
        <brk id="169" max="12" man="1"/>
        <brk id="177" max="12" man="1"/>
        <brk id="178" max="12" man="1"/>
        <brk id="179" max="16383" man="1"/>
        <brk id="181" max="12" man="1"/>
        <brk id="182" max="12" man="1"/>
        <brk id="185" max="16383" man="1"/>
        <brk id="186" max="16383" man="1"/>
        <brk id="189" max="13" man="1"/>
        <brk id="190" max="16383" man="1"/>
        <brk id="191" max="13" man="1"/>
        <brk id="193" max="13" man="1"/>
        <brk id="196" max="13" man="1"/>
        <brk id="197" max="13" man="1"/>
        <brk id="199" max="13" man="1"/>
        <brk id="200" max="13" man="1"/>
        <brk id="207" max="13" man="1"/>
        <brk id="213" max="13" man="1"/>
        <brk id="214" max="13" man="1"/>
        <brk id="215" max="13" man="1"/>
        <brk id="218" max="13" man="1"/>
        <brk id="219" max="16383" man="1"/>
        <brk id="222" max="13" man="1"/>
        <brk id="224" max="16383" man="1"/>
        <brk id="226" max="16383" man="1"/>
        <brk id="227" max="13" man="1"/>
        <brk id="228" max="13" man="1"/>
        <brk id="229" max="13" man="1"/>
        <brk id="235" max="13" man="1"/>
        <brk id="237" max="13" man="1"/>
        <brk id="242" max="13" man="1"/>
        <brk id="244" max="13" man="1"/>
        <brk id="247" max="13" man="1"/>
        <brk id="249" max="13" man="1"/>
        <brk id="257" max="13" man="1"/>
        <brk id="258" max="16383" man="1"/>
        <brk id="266" max="13" man="1"/>
        <brk id="270" max="13" man="1"/>
        <brk id="278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28"/>
      <headerFooter alignWithMargins="0">
        <oddFooter>&amp;R&amp;"Arial Narrow,обычный"&amp;8Лист &amp;P из &amp;N</oddFooter>
      </headerFooter>
    </customSheetView>
  </customSheetViews>
  <mergeCells count="11">
    <mergeCell ref="H206:H207"/>
    <mergeCell ref="J206:J207"/>
    <mergeCell ref="K206:K207"/>
    <mergeCell ref="H1:L1"/>
    <mergeCell ref="L206:L207"/>
    <mergeCell ref="A2:K2"/>
    <mergeCell ref="C206:C207"/>
    <mergeCell ref="D206:D207"/>
    <mergeCell ref="E206:E207"/>
    <mergeCell ref="G206:G207"/>
    <mergeCell ref="F206:F207"/>
  </mergeCells>
  <phoneticPr fontId="0" type="noConversion"/>
  <pageMargins left="0.27559055118110237" right="0.19685039370078741" top="0.23622047244094491" bottom="0.23622047244094491" header="0.15748031496062992" footer="0.15748031496062992"/>
  <pageSetup paperSize="9" scale="95" fitToHeight="0" orientation="landscape" blackAndWhite="1" horizontalDpi="4294967292" verticalDpi="4294967292" r:id="rId29"/>
  <headerFooter alignWithMargins="0">
    <oddFooter>&amp;R&amp;"Arial Narrow,обычный"&amp;8Лист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Анализ бюджета</vt:lpstr>
      <vt:lpstr>Всего_доходов_2003</vt:lpstr>
      <vt:lpstr>Всего_расходов_2003</vt:lpstr>
      <vt:lpstr>'Анализ бюджета'!Заголовки_для_печати</vt:lpstr>
      <vt:lpstr>'Анализ бюджета'!Область_печати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Бюджетный отдел</dc:creator>
  <cp:lastModifiedBy>Юлия А. Саюк</cp:lastModifiedBy>
  <cp:lastPrinted>2016-07-14T07:30:57Z</cp:lastPrinted>
  <dcterms:created xsi:type="dcterms:W3CDTF">1998-04-06T06:06:47Z</dcterms:created>
  <dcterms:modified xsi:type="dcterms:W3CDTF">2016-07-14T07:31:03Z</dcterms:modified>
</cp:coreProperties>
</file>