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309" i="1"/>
  <c r="I308"/>
  <c r="C308"/>
  <c r="E307"/>
  <c r="D307"/>
  <c r="C307"/>
  <c r="S304"/>
  <c r="R304"/>
  <c r="P304"/>
  <c r="O304"/>
  <c r="J304"/>
  <c r="I304"/>
  <c r="H304"/>
  <c r="G304"/>
  <c r="F304"/>
  <c r="E304"/>
  <c r="D304"/>
  <c r="C304"/>
  <c r="E303"/>
  <c r="D303"/>
  <c r="C303"/>
  <c r="K301"/>
  <c r="K300"/>
  <c r="K299"/>
  <c r="K297"/>
  <c r="N296"/>
  <c r="M296"/>
  <c r="L296"/>
  <c r="J296"/>
  <c r="T295"/>
  <c r="Q295"/>
  <c r="N295"/>
  <c r="M295"/>
  <c r="L295"/>
  <c r="K295"/>
  <c r="H295"/>
  <c r="T294"/>
  <c r="Q294"/>
  <c r="N294"/>
  <c r="M294"/>
  <c r="L294"/>
  <c r="K294"/>
  <c r="H294"/>
  <c r="S293"/>
  <c r="R293"/>
  <c r="T293" s="1"/>
  <c r="P293"/>
  <c r="O293"/>
  <c r="Q293" s="1"/>
  <c r="M293"/>
  <c r="L293"/>
  <c r="K293"/>
  <c r="J293"/>
  <c r="H293"/>
  <c r="F293"/>
  <c r="N293" s="1"/>
  <c r="D293"/>
  <c r="C293"/>
  <c r="T292"/>
  <c r="Q292"/>
  <c r="N292"/>
  <c r="M292"/>
  <c r="K292"/>
  <c r="H292"/>
  <c r="E292"/>
  <c r="L292" s="1"/>
  <c r="T291"/>
  <c r="Q291"/>
  <c r="N291"/>
  <c r="M291"/>
  <c r="L291"/>
  <c r="K291"/>
  <c r="H291"/>
  <c r="T290"/>
  <c r="Q290"/>
  <c r="N290"/>
  <c r="M290"/>
  <c r="L290"/>
  <c r="K290"/>
  <c r="H290"/>
  <c r="T289"/>
  <c r="Q289"/>
  <c r="N289"/>
  <c r="M289"/>
  <c r="L289"/>
  <c r="K289"/>
  <c r="H289"/>
  <c r="T288"/>
  <c r="Q288"/>
  <c r="N288"/>
  <c r="M288"/>
  <c r="L288"/>
  <c r="K288"/>
  <c r="H288"/>
  <c r="S286"/>
  <c r="R286"/>
  <c r="T286" s="1"/>
  <c r="P286"/>
  <c r="O286"/>
  <c r="Q286" s="1"/>
  <c r="K286"/>
  <c r="J286"/>
  <c r="G286"/>
  <c r="N286" s="1"/>
  <c r="F286"/>
  <c r="E286"/>
  <c r="H286" s="1"/>
  <c r="D286"/>
  <c r="C286"/>
  <c r="S285"/>
  <c r="R285"/>
  <c r="T285" s="1"/>
  <c r="P285"/>
  <c r="O285"/>
  <c r="Q285" s="1"/>
  <c r="K285"/>
  <c r="J285"/>
  <c r="G285"/>
  <c r="N285" s="1"/>
  <c r="F285"/>
  <c r="E285"/>
  <c r="H285" s="1"/>
  <c r="D285"/>
  <c r="C285"/>
  <c r="S284"/>
  <c r="R284"/>
  <c r="T284" s="1"/>
  <c r="P284"/>
  <c r="O284"/>
  <c r="Q284" s="1"/>
  <c r="K284"/>
  <c r="J284"/>
  <c r="G284"/>
  <c r="N284" s="1"/>
  <c r="F284"/>
  <c r="E284"/>
  <c r="H284" s="1"/>
  <c r="D284"/>
  <c r="C284"/>
  <c r="N283"/>
  <c r="M283"/>
  <c r="L283"/>
  <c r="K283"/>
  <c r="H283"/>
  <c r="T282"/>
  <c r="Q282"/>
  <c r="N282"/>
  <c r="M282"/>
  <c r="L282"/>
  <c r="K282"/>
  <c r="H282"/>
  <c r="C282"/>
  <c r="T281"/>
  <c r="Q281"/>
  <c r="N281"/>
  <c r="M281"/>
  <c r="L281"/>
  <c r="K281"/>
  <c r="H281"/>
  <c r="D281"/>
  <c r="C281"/>
  <c r="S279"/>
  <c r="R279"/>
  <c r="T279" s="1"/>
  <c r="P279"/>
  <c r="O279"/>
  <c r="Q279" s="1"/>
  <c r="K279"/>
  <c r="J279"/>
  <c r="G279"/>
  <c r="M279" s="1"/>
  <c r="F279"/>
  <c r="E279"/>
  <c r="H279" s="1"/>
  <c r="D279"/>
  <c r="C279"/>
  <c r="T278"/>
  <c r="Q278"/>
  <c r="N278"/>
  <c r="M278"/>
  <c r="L278"/>
  <c r="K278"/>
  <c r="H278"/>
  <c r="T277"/>
  <c r="Q277"/>
  <c r="M277"/>
  <c r="L277"/>
  <c r="K277"/>
  <c r="H277"/>
  <c r="F277"/>
  <c r="N277" s="1"/>
  <c r="C277"/>
  <c r="S276"/>
  <c r="R276"/>
  <c r="T276" s="1"/>
  <c r="P276"/>
  <c r="O276"/>
  <c r="Q276" s="1"/>
  <c r="K276"/>
  <c r="J276"/>
  <c r="G276"/>
  <c r="M276" s="1"/>
  <c r="F276"/>
  <c r="E276"/>
  <c r="H276" s="1"/>
  <c r="D276"/>
  <c r="C276"/>
  <c r="T275"/>
  <c r="Q275"/>
  <c r="N275"/>
  <c r="M275"/>
  <c r="L275"/>
  <c r="K275"/>
  <c r="I275"/>
  <c r="H275"/>
  <c r="T274"/>
  <c r="Q274"/>
  <c r="N274"/>
  <c r="M274"/>
  <c r="L274"/>
  <c r="K274"/>
  <c r="H274"/>
  <c r="T273"/>
  <c r="Q273"/>
  <c r="N273"/>
  <c r="M273"/>
  <c r="L273"/>
  <c r="K273"/>
  <c r="I273"/>
  <c r="H273"/>
  <c r="N272"/>
  <c r="L272"/>
  <c r="H272"/>
  <c r="S271"/>
  <c r="R271"/>
  <c r="T271" s="1"/>
  <c r="P271"/>
  <c r="O271"/>
  <c r="Q271" s="1"/>
  <c r="N271"/>
  <c r="M271"/>
  <c r="L271"/>
  <c r="K271"/>
  <c r="H271"/>
  <c r="T270"/>
  <c r="Q270"/>
  <c r="N270"/>
  <c r="M270"/>
  <c r="L270"/>
  <c r="K270"/>
  <c r="H270"/>
  <c r="T269"/>
  <c r="Q269"/>
  <c r="M269"/>
  <c r="L269"/>
  <c r="K269"/>
  <c r="H269"/>
  <c r="F269"/>
  <c r="N269" s="1"/>
  <c r="C269"/>
  <c r="S268"/>
  <c r="R268"/>
  <c r="T268" s="1"/>
  <c r="P268"/>
  <c r="O268"/>
  <c r="Q268" s="1"/>
  <c r="K268"/>
  <c r="J268"/>
  <c r="G268"/>
  <c r="N268" s="1"/>
  <c r="F268"/>
  <c r="E268"/>
  <c r="H268" s="1"/>
  <c r="D268"/>
  <c r="C268"/>
  <c r="S267"/>
  <c r="R267"/>
  <c r="T267" s="1"/>
  <c r="P267"/>
  <c r="O267"/>
  <c r="Q267" s="1"/>
  <c r="K267"/>
  <c r="J267"/>
  <c r="G267"/>
  <c r="N267" s="1"/>
  <c r="F267"/>
  <c r="E267"/>
  <c r="H267" s="1"/>
  <c r="D267"/>
  <c r="C267"/>
  <c r="T266"/>
  <c r="Q266"/>
  <c r="N266"/>
  <c r="M266"/>
  <c r="L266"/>
  <c r="K266"/>
  <c r="H266"/>
  <c r="T265"/>
  <c r="Q265"/>
  <c r="N265"/>
  <c r="M265"/>
  <c r="L265"/>
  <c r="K265"/>
  <c r="H265"/>
  <c r="T264"/>
  <c r="Q264"/>
  <c r="N264"/>
  <c r="M264"/>
  <c r="L264"/>
  <c r="K264"/>
  <c r="J264"/>
  <c r="H264"/>
  <c r="S263"/>
  <c r="T263" s="1"/>
  <c r="P263"/>
  <c r="Q263" s="1"/>
  <c r="N263"/>
  <c r="L263"/>
  <c r="K263"/>
  <c r="H263"/>
  <c r="T262"/>
  <c r="S262"/>
  <c r="Q262"/>
  <c r="P262"/>
  <c r="N262"/>
  <c r="M262"/>
  <c r="L262"/>
  <c r="K262"/>
  <c r="H262"/>
  <c r="S260"/>
  <c r="R260"/>
  <c r="T260" s="1"/>
  <c r="P260"/>
  <c r="O260"/>
  <c r="Q260" s="1"/>
  <c r="K260"/>
  <c r="J260"/>
  <c r="G260"/>
  <c r="N260" s="1"/>
  <c r="F260"/>
  <c r="E260"/>
  <c r="H260" s="1"/>
  <c r="D260"/>
  <c r="C260"/>
  <c r="T259"/>
  <c r="S259"/>
  <c r="Q259"/>
  <c r="K259"/>
  <c r="J259"/>
  <c r="G259"/>
  <c r="M259" s="1"/>
  <c r="D259"/>
  <c r="T258"/>
  <c r="P258"/>
  <c r="Q258" s="1"/>
  <c r="N258"/>
  <c r="M258"/>
  <c r="L258"/>
  <c r="K258"/>
  <c r="H258"/>
  <c r="D258"/>
  <c r="T257"/>
  <c r="Q257"/>
  <c r="N257"/>
  <c r="M257"/>
  <c r="L257"/>
  <c r="K257"/>
  <c r="H257"/>
  <c r="D257"/>
  <c r="T256"/>
  <c r="Q256"/>
  <c r="N256"/>
  <c r="M256"/>
  <c r="L256"/>
  <c r="K256"/>
  <c r="H256"/>
  <c r="D256"/>
  <c r="T255"/>
  <c r="Q255"/>
  <c r="N255"/>
  <c r="M255"/>
  <c r="L255"/>
  <c r="K255"/>
  <c r="J255"/>
  <c r="H255"/>
  <c r="D255"/>
  <c r="S253"/>
  <c r="R253"/>
  <c r="T253" s="1"/>
  <c r="P253"/>
  <c r="O253"/>
  <c r="Q253" s="1"/>
  <c r="K253"/>
  <c r="J253"/>
  <c r="G253"/>
  <c r="N253" s="1"/>
  <c r="F253"/>
  <c r="E253"/>
  <c r="H253" s="1"/>
  <c r="D253"/>
  <c r="C253"/>
  <c r="S252"/>
  <c r="R252"/>
  <c r="T252" s="1"/>
  <c r="P252"/>
  <c r="O252"/>
  <c r="Q252" s="1"/>
  <c r="K252"/>
  <c r="J252"/>
  <c r="G252"/>
  <c r="N252" s="1"/>
  <c r="F252"/>
  <c r="E252"/>
  <c r="H252" s="1"/>
  <c r="D252"/>
  <c r="C252"/>
  <c r="S251"/>
  <c r="R251"/>
  <c r="T251" s="1"/>
  <c r="P251"/>
  <c r="O251"/>
  <c r="Q251" s="1"/>
  <c r="K251"/>
  <c r="J251"/>
  <c r="H251"/>
  <c r="G251"/>
  <c r="N251" s="1"/>
  <c r="F251"/>
  <c r="E251"/>
  <c r="D251"/>
  <c r="C251"/>
  <c r="T250"/>
  <c r="Q250"/>
  <c r="N250"/>
  <c r="M250"/>
  <c r="L250"/>
  <c r="K250"/>
  <c r="J250"/>
  <c r="H250"/>
  <c r="T249"/>
  <c r="Q249"/>
  <c r="N249"/>
  <c r="M249"/>
  <c r="L249"/>
  <c r="K249"/>
  <c r="H249"/>
  <c r="T248"/>
  <c r="Q248"/>
  <c r="N248"/>
  <c r="M248"/>
  <c r="L248"/>
  <c r="K248"/>
  <c r="J248"/>
  <c r="H248"/>
  <c r="T247"/>
  <c r="Q247"/>
  <c r="N247"/>
  <c r="M247"/>
  <c r="L247"/>
  <c r="K247"/>
  <c r="H247"/>
  <c r="S246"/>
  <c r="R246"/>
  <c r="T246" s="1"/>
  <c r="P246"/>
  <c r="O246"/>
  <c r="Q246" s="1"/>
  <c r="M246"/>
  <c r="L246"/>
  <c r="K246"/>
  <c r="H246"/>
  <c r="F246"/>
  <c r="N246" s="1"/>
  <c r="S244"/>
  <c r="R244"/>
  <c r="T244" s="1"/>
  <c r="P244"/>
  <c r="O244"/>
  <c r="Q244" s="1"/>
  <c r="K244"/>
  <c r="J244"/>
  <c r="G244"/>
  <c r="M244" s="1"/>
  <c r="F244"/>
  <c r="E244"/>
  <c r="H244" s="1"/>
  <c r="D244"/>
  <c r="C244"/>
  <c r="T243"/>
  <c r="Q243"/>
  <c r="K243"/>
  <c r="G243"/>
  <c r="M243" s="1"/>
  <c r="F243"/>
  <c r="D243"/>
  <c r="T242"/>
  <c r="Q242"/>
  <c r="N242"/>
  <c r="M242"/>
  <c r="L242"/>
  <c r="K242"/>
  <c r="H242"/>
  <c r="D242"/>
  <c r="T241"/>
  <c r="Q241"/>
  <c r="N241"/>
  <c r="M241"/>
  <c r="L241"/>
  <c r="K241"/>
  <c r="J241"/>
  <c r="H241"/>
  <c r="D241"/>
  <c r="T240"/>
  <c r="Q240"/>
  <c r="N240"/>
  <c r="M240"/>
  <c r="L240"/>
  <c r="K240"/>
  <c r="H240"/>
  <c r="D240"/>
  <c r="T239"/>
  <c r="Q239"/>
  <c r="N239"/>
  <c r="M239"/>
  <c r="L239"/>
  <c r="K239"/>
  <c r="H239"/>
  <c r="D239"/>
  <c r="S237"/>
  <c r="R237"/>
  <c r="T237" s="1"/>
  <c r="P237"/>
  <c r="O237"/>
  <c r="Q237" s="1"/>
  <c r="K237"/>
  <c r="J237"/>
  <c r="G237"/>
  <c r="M237" s="1"/>
  <c r="F237"/>
  <c r="E237"/>
  <c r="H237" s="1"/>
  <c r="D237"/>
  <c r="C237"/>
  <c r="S236"/>
  <c r="R236"/>
  <c r="T236" s="1"/>
  <c r="P236"/>
  <c r="O236"/>
  <c r="Q236" s="1"/>
  <c r="K236"/>
  <c r="J236"/>
  <c r="G236"/>
  <c r="M236" s="1"/>
  <c r="F236"/>
  <c r="E236"/>
  <c r="H236" s="1"/>
  <c r="D236"/>
  <c r="C236"/>
  <c r="S235"/>
  <c r="R235"/>
  <c r="T235" s="1"/>
  <c r="P235"/>
  <c r="O235"/>
  <c r="Q235" s="1"/>
  <c r="K235"/>
  <c r="J235"/>
  <c r="G235"/>
  <c r="M235" s="1"/>
  <c r="F235"/>
  <c r="E235"/>
  <c r="H235" s="1"/>
  <c r="D235"/>
  <c r="C235"/>
  <c r="N234"/>
  <c r="M234"/>
  <c r="L234"/>
  <c r="K234"/>
  <c r="H234"/>
  <c r="M233"/>
  <c r="L233"/>
  <c r="H233"/>
  <c r="N232"/>
  <c r="M232"/>
  <c r="L232"/>
  <c r="K232"/>
  <c r="I232"/>
  <c r="H232"/>
  <c r="T231"/>
  <c r="Q231"/>
  <c r="N231"/>
  <c r="M231"/>
  <c r="L231"/>
  <c r="K231"/>
  <c r="H231"/>
  <c r="T230"/>
  <c r="Q230"/>
  <c r="N230"/>
  <c r="M230"/>
  <c r="L230"/>
  <c r="K230"/>
  <c r="H230"/>
  <c r="S229"/>
  <c r="R229"/>
  <c r="T229" s="1"/>
  <c r="P229"/>
  <c r="O229"/>
  <c r="Q229" s="1"/>
  <c r="K229"/>
  <c r="J229"/>
  <c r="G229"/>
  <c r="N229" s="1"/>
  <c r="F229"/>
  <c r="E229"/>
  <c r="H229" s="1"/>
  <c r="D229"/>
  <c r="C229"/>
  <c r="S228"/>
  <c r="R228"/>
  <c r="T228" s="1"/>
  <c r="P228"/>
  <c r="O228"/>
  <c r="Q228" s="1"/>
  <c r="K228"/>
  <c r="J228"/>
  <c r="G228"/>
  <c r="N228" s="1"/>
  <c r="F228"/>
  <c r="E228"/>
  <c r="H228" s="1"/>
  <c r="D228"/>
  <c r="C228"/>
  <c r="T227"/>
  <c r="Q227"/>
  <c r="N227"/>
  <c r="L227"/>
  <c r="K227"/>
  <c r="H227"/>
  <c r="S226"/>
  <c r="R226"/>
  <c r="T226" s="1"/>
  <c r="P226"/>
  <c r="O226"/>
  <c r="Q226" s="1"/>
  <c r="K226"/>
  <c r="J226"/>
  <c r="G226"/>
  <c r="L226" s="1"/>
  <c r="F226"/>
  <c r="E226"/>
  <c r="H226" s="1"/>
  <c r="D226"/>
  <c r="C226"/>
  <c r="N225"/>
  <c r="M225"/>
  <c r="L225"/>
  <c r="I225"/>
  <c r="T224"/>
  <c r="Q224"/>
  <c r="N224"/>
  <c r="M224"/>
  <c r="L224"/>
  <c r="K224"/>
  <c r="H224"/>
  <c r="S223"/>
  <c r="R223"/>
  <c r="T223" s="1"/>
  <c r="P223"/>
  <c r="O223"/>
  <c r="Q223" s="1"/>
  <c r="K223"/>
  <c r="J223"/>
  <c r="G223"/>
  <c r="N223" s="1"/>
  <c r="F223"/>
  <c r="E223"/>
  <c r="H223" s="1"/>
  <c r="D223"/>
  <c r="C223"/>
  <c r="T222"/>
  <c r="Q222"/>
  <c r="N222"/>
  <c r="L222"/>
  <c r="K222"/>
  <c r="H222"/>
  <c r="T221"/>
  <c r="Q221"/>
  <c r="K221"/>
  <c r="J221"/>
  <c r="G221"/>
  <c r="L221" s="1"/>
  <c r="F221"/>
  <c r="E221"/>
  <c r="H221" s="1"/>
  <c r="D221"/>
  <c r="C221"/>
  <c r="N220"/>
  <c r="M220"/>
  <c r="L220"/>
  <c r="I220"/>
  <c r="N219"/>
  <c r="M219"/>
  <c r="L219"/>
  <c r="K219"/>
  <c r="H219"/>
  <c r="N218"/>
  <c r="M218"/>
  <c r="L218"/>
  <c r="K218"/>
  <c r="I218"/>
  <c r="H218"/>
  <c r="T217"/>
  <c r="Q217"/>
  <c r="N217"/>
  <c r="L217"/>
  <c r="K217"/>
  <c r="I217"/>
  <c r="H217"/>
  <c r="C217"/>
  <c r="S216"/>
  <c r="T216" s="1"/>
  <c r="Q216"/>
  <c r="P216"/>
  <c r="K216"/>
  <c r="J216"/>
  <c r="G216"/>
  <c r="N216" s="1"/>
  <c r="E216"/>
  <c r="H216" s="1"/>
  <c r="D216"/>
  <c r="C216"/>
  <c r="S215"/>
  <c r="R215"/>
  <c r="T215" s="1"/>
  <c r="P215"/>
  <c r="O215"/>
  <c r="Q215" s="1"/>
  <c r="K215"/>
  <c r="J215"/>
  <c r="G215"/>
  <c r="M215" s="1"/>
  <c r="F215"/>
  <c r="E215"/>
  <c r="H215" s="1"/>
  <c r="D215"/>
  <c r="C215"/>
  <c r="N214"/>
  <c r="M214"/>
  <c r="L214"/>
  <c r="K214"/>
  <c r="I214"/>
  <c r="H214"/>
  <c r="N213"/>
  <c r="M213"/>
  <c r="L213"/>
  <c r="K213"/>
  <c r="I213"/>
  <c r="H213"/>
  <c r="U212"/>
  <c r="K212"/>
  <c r="J212"/>
  <c r="P212" s="1"/>
  <c r="G212"/>
  <c r="N212" s="1"/>
  <c r="E212"/>
  <c r="H212" s="1"/>
  <c r="D212"/>
  <c r="U211"/>
  <c r="K211"/>
  <c r="J211"/>
  <c r="P211" s="1"/>
  <c r="G211"/>
  <c r="M211" s="1"/>
  <c r="E211"/>
  <c r="H211" s="1"/>
  <c r="C211"/>
  <c r="R210"/>
  <c r="O210"/>
  <c r="K210"/>
  <c r="J210"/>
  <c r="G210"/>
  <c r="M210" s="1"/>
  <c r="F210"/>
  <c r="E210"/>
  <c r="H210" s="1"/>
  <c r="D210"/>
  <c r="C210"/>
  <c r="N209"/>
  <c r="M209"/>
  <c r="L209"/>
  <c r="K209"/>
  <c r="I209"/>
  <c r="S208"/>
  <c r="T208" s="1"/>
  <c r="P208"/>
  <c r="Q208" s="1"/>
  <c r="K208"/>
  <c r="J208"/>
  <c r="G208"/>
  <c r="N208" s="1"/>
  <c r="E208"/>
  <c r="H208" s="1"/>
  <c r="C208"/>
  <c r="S207"/>
  <c r="R207"/>
  <c r="T207" s="1"/>
  <c r="P207"/>
  <c r="O207"/>
  <c r="Q207" s="1"/>
  <c r="K207"/>
  <c r="J207"/>
  <c r="G207"/>
  <c r="N207" s="1"/>
  <c r="F207"/>
  <c r="E207"/>
  <c r="H207" s="1"/>
  <c r="D207"/>
  <c r="C207"/>
  <c r="N206"/>
  <c r="M206"/>
  <c r="L206"/>
  <c r="I206"/>
  <c r="N205"/>
  <c r="M205"/>
  <c r="L205"/>
  <c r="K205"/>
  <c r="I205"/>
  <c r="H205"/>
  <c r="N204"/>
  <c r="M204"/>
  <c r="L204"/>
  <c r="K204"/>
  <c r="I204"/>
  <c r="H204"/>
  <c r="U203"/>
  <c r="S203"/>
  <c r="T203" s="1"/>
  <c r="Q203"/>
  <c r="P203"/>
  <c r="K203"/>
  <c r="J203"/>
  <c r="G203"/>
  <c r="M203" s="1"/>
  <c r="E203"/>
  <c r="H203" s="1"/>
  <c r="D203"/>
  <c r="C203"/>
  <c r="S202"/>
  <c r="R202"/>
  <c r="T202" s="1"/>
  <c r="P202"/>
  <c r="O202"/>
  <c r="Q202" s="1"/>
  <c r="K202"/>
  <c r="J202"/>
  <c r="G202"/>
  <c r="N202" s="1"/>
  <c r="F202"/>
  <c r="E202"/>
  <c r="H202" s="1"/>
  <c r="D202"/>
  <c r="C202"/>
  <c r="R201"/>
  <c r="O201"/>
  <c r="K201"/>
  <c r="J201"/>
  <c r="G201"/>
  <c r="N201" s="1"/>
  <c r="F201"/>
  <c r="E201"/>
  <c r="H201" s="1"/>
  <c r="D201"/>
  <c r="C201"/>
  <c r="N200"/>
  <c r="M200"/>
  <c r="L200"/>
  <c r="K200"/>
  <c r="H200"/>
  <c r="K199"/>
  <c r="J199"/>
  <c r="G199"/>
  <c r="N199" s="1"/>
  <c r="F199"/>
  <c r="E199"/>
  <c r="H199" s="1"/>
  <c r="D199"/>
  <c r="C199"/>
  <c r="N198"/>
  <c r="M198"/>
  <c r="L198"/>
  <c r="K198"/>
  <c r="I198"/>
  <c r="H198"/>
  <c r="N197"/>
  <c r="M197"/>
  <c r="L197"/>
  <c r="K197"/>
  <c r="I197"/>
  <c r="H197"/>
  <c r="N196"/>
  <c r="M196"/>
  <c r="L196"/>
  <c r="K196"/>
  <c r="I196"/>
  <c r="H196"/>
  <c r="N195"/>
  <c r="M195"/>
  <c r="L195"/>
  <c r="K195"/>
  <c r="I195"/>
  <c r="H195"/>
  <c r="N194"/>
  <c r="M194"/>
  <c r="L194"/>
  <c r="K194"/>
  <c r="H194"/>
  <c r="T193"/>
  <c r="Q193"/>
  <c r="N193"/>
  <c r="L193"/>
  <c r="K193"/>
  <c r="H193"/>
  <c r="N192"/>
  <c r="L192"/>
  <c r="K192"/>
  <c r="I192"/>
  <c r="H192"/>
  <c r="T191"/>
  <c r="Q191"/>
  <c r="N191"/>
  <c r="L191"/>
  <c r="K191"/>
  <c r="H191"/>
  <c r="T190"/>
  <c r="Q190"/>
  <c r="N190"/>
  <c r="M190"/>
  <c r="L190"/>
  <c r="K190"/>
  <c r="I190"/>
  <c r="H190"/>
  <c r="T189"/>
  <c r="Q189"/>
  <c r="N189"/>
  <c r="M189"/>
  <c r="L189"/>
  <c r="K189"/>
  <c r="H189"/>
  <c r="N188"/>
  <c r="M188"/>
  <c r="L188"/>
  <c r="I188"/>
  <c r="T187"/>
  <c r="Q187"/>
  <c r="N187"/>
  <c r="M187"/>
  <c r="L187"/>
  <c r="K187"/>
  <c r="H187"/>
  <c r="S186"/>
  <c r="R186"/>
  <c r="T186" s="1"/>
  <c r="P186"/>
  <c r="O186"/>
  <c r="Q186" s="1"/>
  <c r="N186"/>
  <c r="L186"/>
  <c r="K186"/>
  <c r="H186"/>
  <c r="N185"/>
  <c r="M185"/>
  <c r="L185"/>
  <c r="K185"/>
  <c r="H185"/>
  <c r="C185"/>
  <c r="N184"/>
  <c r="M184"/>
  <c r="L184"/>
  <c r="K184"/>
  <c r="N183"/>
  <c r="M183"/>
  <c r="L183"/>
  <c r="K183"/>
  <c r="I183"/>
  <c r="H183"/>
  <c r="N182"/>
  <c r="M182"/>
  <c r="L182"/>
  <c r="K182"/>
  <c r="H182"/>
  <c r="N181"/>
  <c r="M181"/>
  <c r="L181"/>
  <c r="K181"/>
  <c r="H181"/>
  <c r="N180"/>
  <c r="L180"/>
  <c r="K180"/>
  <c r="H180"/>
  <c r="N179"/>
  <c r="M179"/>
  <c r="L179"/>
  <c r="I179"/>
  <c r="N178"/>
  <c r="M178"/>
  <c r="L178"/>
  <c r="K178"/>
  <c r="I178"/>
  <c r="H178"/>
  <c r="N177"/>
  <c r="M177"/>
  <c r="L177"/>
  <c r="K177"/>
  <c r="I177"/>
  <c r="H177"/>
  <c r="N176"/>
  <c r="M176"/>
  <c r="L176"/>
  <c r="K176"/>
  <c r="I176"/>
  <c r="H176"/>
  <c r="T175"/>
  <c r="Q175"/>
  <c r="K175"/>
  <c r="G175"/>
  <c r="M175" s="1"/>
  <c r="E175"/>
  <c r="H175" s="1"/>
  <c r="C175"/>
  <c r="S174"/>
  <c r="R174"/>
  <c r="T174" s="1"/>
  <c r="P174"/>
  <c r="O174"/>
  <c r="Q174" s="1"/>
  <c r="K174"/>
  <c r="J174"/>
  <c r="G174"/>
  <c r="N174" s="1"/>
  <c r="F174"/>
  <c r="E174"/>
  <c r="H174" s="1"/>
  <c r="D174"/>
  <c r="C174"/>
  <c r="T173"/>
  <c r="Q173"/>
  <c r="K173"/>
  <c r="G173"/>
  <c r="N173" s="1"/>
  <c r="E173"/>
  <c r="H173" s="1"/>
  <c r="D173"/>
  <c r="S172"/>
  <c r="R172"/>
  <c r="T172" s="1"/>
  <c r="P172"/>
  <c r="O172"/>
  <c r="Q172" s="1"/>
  <c r="K172"/>
  <c r="J172"/>
  <c r="G172"/>
  <c r="M172" s="1"/>
  <c r="F172"/>
  <c r="E172"/>
  <c r="H172" s="1"/>
  <c r="D172"/>
  <c r="C172"/>
  <c r="S171"/>
  <c r="R171"/>
  <c r="T171" s="1"/>
  <c r="P171"/>
  <c r="O171"/>
  <c r="Q171" s="1"/>
  <c r="K171"/>
  <c r="J171"/>
  <c r="G171"/>
  <c r="M171" s="1"/>
  <c r="F171"/>
  <c r="E171"/>
  <c r="H171" s="1"/>
  <c r="D171"/>
  <c r="C171"/>
  <c r="R170"/>
  <c r="O170"/>
  <c r="K170"/>
  <c r="J170"/>
  <c r="G170"/>
  <c r="M170" s="1"/>
  <c r="F170"/>
  <c r="E170"/>
  <c r="H170" s="1"/>
  <c r="D170"/>
  <c r="C170"/>
  <c r="N169"/>
  <c r="M169"/>
  <c r="L169"/>
  <c r="K169"/>
  <c r="I169"/>
  <c r="H169"/>
  <c r="N168"/>
  <c r="M168"/>
  <c r="L168"/>
  <c r="K168"/>
  <c r="H168"/>
  <c r="T167"/>
  <c r="Q167"/>
  <c r="N167"/>
  <c r="K167"/>
  <c r="E167"/>
  <c r="M167" s="1"/>
  <c r="D167"/>
  <c r="C167"/>
  <c r="N166"/>
  <c r="M166"/>
  <c r="L166"/>
  <c r="K166"/>
  <c r="S165"/>
  <c r="R165"/>
  <c r="T165" s="1"/>
  <c r="P165"/>
  <c r="O165"/>
  <c r="Q165" s="1"/>
  <c r="K165"/>
  <c r="J165"/>
  <c r="H165"/>
  <c r="G165"/>
  <c r="M165" s="1"/>
  <c r="F165"/>
  <c r="E165"/>
  <c r="D165"/>
  <c r="C165"/>
  <c r="N164"/>
  <c r="M164"/>
  <c r="L164"/>
  <c r="K164"/>
  <c r="I164"/>
  <c r="H164"/>
  <c r="N163"/>
  <c r="M163"/>
  <c r="L163"/>
  <c r="K163"/>
  <c r="I163"/>
  <c r="H163"/>
  <c r="N162"/>
  <c r="M162"/>
  <c r="L162"/>
  <c r="K162"/>
  <c r="I162"/>
  <c r="H162"/>
  <c r="N161"/>
  <c r="M161"/>
  <c r="L161"/>
  <c r="K161"/>
  <c r="I161"/>
  <c r="H161"/>
  <c r="N160"/>
  <c r="M160"/>
  <c r="L160"/>
  <c r="K160"/>
  <c r="H160"/>
  <c r="N159"/>
  <c r="M159"/>
  <c r="L159"/>
  <c r="I159"/>
  <c r="N158"/>
  <c r="M158"/>
  <c r="L158"/>
  <c r="K158"/>
  <c r="I158"/>
  <c r="H158"/>
  <c r="N157"/>
  <c r="M157"/>
  <c r="L157"/>
  <c r="K157"/>
  <c r="I157"/>
  <c r="H157"/>
  <c r="N156"/>
  <c r="M156"/>
  <c r="L156"/>
  <c r="K156"/>
  <c r="I156"/>
  <c r="H156"/>
  <c r="N155"/>
  <c r="M155"/>
  <c r="L155"/>
  <c r="K155"/>
  <c r="I155"/>
  <c r="H155"/>
  <c r="T154"/>
  <c r="Q154"/>
  <c r="N154"/>
  <c r="M154"/>
  <c r="L154"/>
  <c r="K154"/>
  <c r="I154"/>
  <c r="H154"/>
  <c r="T153"/>
  <c r="Q153"/>
  <c r="N153"/>
  <c r="M153"/>
  <c r="L153"/>
  <c r="K153"/>
  <c r="H153"/>
  <c r="N152"/>
  <c r="M152"/>
  <c r="L152"/>
  <c r="I152"/>
  <c r="T151"/>
  <c r="Q151"/>
  <c r="N151"/>
  <c r="M151"/>
  <c r="L151"/>
  <c r="K151"/>
  <c r="I151"/>
  <c r="H151"/>
  <c r="T150"/>
  <c r="Q150"/>
  <c r="N150"/>
  <c r="M150"/>
  <c r="L150"/>
  <c r="K150"/>
  <c r="I150"/>
  <c r="H150"/>
  <c r="T149"/>
  <c r="Q149"/>
  <c r="N149"/>
  <c r="M149"/>
  <c r="L149"/>
  <c r="K149"/>
  <c r="I149"/>
  <c r="H149"/>
  <c r="T148"/>
  <c r="Q148"/>
  <c r="N148"/>
  <c r="M148"/>
  <c r="L148"/>
  <c r="K148"/>
  <c r="I148"/>
  <c r="H148"/>
  <c r="T147"/>
  <c r="Q147"/>
  <c r="N147"/>
  <c r="M147"/>
  <c r="L147"/>
  <c r="K147"/>
  <c r="H147"/>
  <c r="T146"/>
  <c r="Q146"/>
  <c r="N146"/>
  <c r="L146"/>
  <c r="K146"/>
  <c r="H146"/>
  <c r="C146"/>
  <c r="N145"/>
  <c r="M145"/>
  <c r="L145"/>
  <c r="T144"/>
  <c r="Q144"/>
  <c r="N144"/>
  <c r="M144"/>
  <c r="L144"/>
  <c r="K144"/>
  <c r="H144"/>
  <c r="C144"/>
  <c r="N143"/>
  <c r="M143"/>
  <c r="L143"/>
  <c r="K143"/>
  <c r="H143"/>
  <c r="T142"/>
  <c r="Q142"/>
  <c r="N142"/>
  <c r="K142"/>
  <c r="H142"/>
  <c r="E142"/>
  <c r="L142" s="1"/>
  <c r="D142"/>
  <c r="C142"/>
  <c r="K141"/>
  <c r="J141"/>
  <c r="G141"/>
  <c r="M141" s="1"/>
  <c r="E141"/>
  <c r="N140"/>
  <c r="M140"/>
  <c r="L140"/>
  <c r="K140"/>
  <c r="J140"/>
  <c r="I140"/>
  <c r="N139"/>
  <c r="M139"/>
  <c r="L139"/>
  <c r="K139"/>
  <c r="J139"/>
  <c r="I139"/>
  <c r="H139"/>
  <c r="S138"/>
  <c r="R138"/>
  <c r="T138" s="1"/>
  <c r="P138"/>
  <c r="O138"/>
  <c r="Q138" s="1"/>
  <c r="N138"/>
  <c r="M138"/>
  <c r="L138"/>
  <c r="K138"/>
  <c r="J138"/>
  <c r="I138"/>
  <c r="H138"/>
  <c r="T137"/>
  <c r="Q137"/>
  <c r="N137"/>
  <c r="M137"/>
  <c r="L137"/>
  <c r="K137"/>
  <c r="J137"/>
  <c r="H137"/>
  <c r="U136"/>
  <c r="S136"/>
  <c r="R136"/>
  <c r="T136" s="1"/>
  <c r="P136"/>
  <c r="O136"/>
  <c r="Q136" s="1"/>
  <c r="N136"/>
  <c r="M136"/>
  <c r="L136"/>
  <c r="K136"/>
  <c r="J136"/>
  <c r="I136"/>
  <c r="H136"/>
  <c r="N135"/>
  <c r="M135"/>
  <c r="L135"/>
  <c r="K135"/>
  <c r="J135"/>
  <c r="T134"/>
  <c r="Q134"/>
  <c r="N134"/>
  <c r="M134"/>
  <c r="L134"/>
  <c r="K134"/>
  <c r="J134"/>
  <c r="H134"/>
  <c r="T133"/>
  <c r="Q133"/>
  <c r="N133"/>
  <c r="M133"/>
  <c r="L133"/>
  <c r="K133"/>
  <c r="J133"/>
  <c r="H133"/>
  <c r="S132"/>
  <c r="T132" s="1"/>
  <c r="P132"/>
  <c r="Q132" s="1"/>
  <c r="N132"/>
  <c r="M132"/>
  <c r="L132"/>
  <c r="K132"/>
  <c r="J132"/>
  <c r="I132"/>
  <c r="H132"/>
  <c r="U131"/>
  <c r="S131"/>
  <c r="R131"/>
  <c r="T131" s="1"/>
  <c r="P131"/>
  <c r="O131"/>
  <c r="Q131" s="1"/>
  <c r="K131"/>
  <c r="J131"/>
  <c r="G131"/>
  <c r="N131" s="1"/>
  <c r="E131"/>
  <c r="H131" s="1"/>
  <c r="D131"/>
  <c r="C131"/>
  <c r="S130"/>
  <c r="R130"/>
  <c r="T130" s="1"/>
  <c r="P130"/>
  <c r="O130"/>
  <c r="Q130" s="1"/>
  <c r="K130"/>
  <c r="J130"/>
  <c r="G130"/>
  <c r="M130" s="1"/>
  <c r="E130"/>
  <c r="H130" s="1"/>
  <c r="D130"/>
  <c r="C130"/>
  <c r="T129"/>
  <c r="Q129"/>
  <c r="N129"/>
  <c r="L129"/>
  <c r="K129"/>
  <c r="H129"/>
  <c r="S128"/>
  <c r="R128"/>
  <c r="T128" s="1"/>
  <c r="P128"/>
  <c r="O128"/>
  <c r="Q128" s="1"/>
  <c r="K128"/>
  <c r="J128"/>
  <c r="G128"/>
  <c r="M128" s="1"/>
  <c r="E128"/>
  <c r="H128" s="1"/>
  <c r="D128"/>
  <c r="C128"/>
  <c r="N127"/>
  <c r="M127"/>
  <c r="L127"/>
  <c r="K127"/>
  <c r="I127"/>
  <c r="H127"/>
  <c r="N126"/>
  <c r="M126"/>
  <c r="L126"/>
  <c r="K126"/>
  <c r="I126"/>
  <c r="H126"/>
  <c r="T125"/>
  <c r="Q125"/>
  <c r="N125"/>
  <c r="L125"/>
  <c r="K125"/>
  <c r="H125"/>
  <c r="T124"/>
  <c r="Q124"/>
  <c r="N124"/>
  <c r="M124"/>
  <c r="L124"/>
  <c r="K124"/>
  <c r="H124"/>
  <c r="S123"/>
  <c r="R123"/>
  <c r="T123" s="1"/>
  <c r="P123"/>
  <c r="O123"/>
  <c r="Q123" s="1"/>
  <c r="K123"/>
  <c r="J123"/>
  <c r="H123"/>
  <c r="G123"/>
  <c r="M123" s="1"/>
  <c r="F123"/>
  <c r="E123"/>
  <c r="D123"/>
  <c r="C123"/>
  <c r="S122"/>
  <c r="R122"/>
  <c r="T122" s="1"/>
  <c r="P122"/>
  <c r="O122"/>
  <c r="Q122" s="1"/>
  <c r="K122"/>
  <c r="J122"/>
  <c r="H122"/>
  <c r="G122"/>
  <c r="M122" s="1"/>
  <c r="F122"/>
  <c r="E122"/>
  <c r="L122" s="1"/>
  <c r="D122"/>
  <c r="C122"/>
  <c r="N121"/>
  <c r="M121"/>
  <c r="L121"/>
  <c r="K121"/>
  <c r="I121"/>
  <c r="H121"/>
  <c r="N120"/>
  <c r="M120"/>
  <c r="L120"/>
  <c r="K120"/>
  <c r="I120"/>
  <c r="H120"/>
  <c r="N119"/>
  <c r="M119"/>
  <c r="L119"/>
  <c r="K119"/>
  <c r="H119"/>
  <c r="T118"/>
  <c r="Q118"/>
  <c r="N118"/>
  <c r="L118"/>
  <c r="K118"/>
  <c r="H118"/>
  <c r="T117"/>
  <c r="Q117"/>
  <c r="N117"/>
  <c r="M117"/>
  <c r="L117"/>
  <c r="K117"/>
  <c r="I117"/>
  <c r="H117"/>
  <c r="S116"/>
  <c r="R116"/>
  <c r="T116" s="1"/>
  <c r="P116"/>
  <c r="O116"/>
  <c r="Q116" s="1"/>
  <c r="K116"/>
  <c r="J116"/>
  <c r="G116"/>
  <c r="N116" s="1"/>
  <c r="F116"/>
  <c r="E116"/>
  <c r="H116" s="1"/>
  <c r="D116"/>
  <c r="C116"/>
  <c r="T115"/>
  <c r="Q115"/>
  <c r="N115"/>
  <c r="K115"/>
  <c r="J115"/>
  <c r="E115"/>
  <c r="L115" s="1"/>
  <c r="D115"/>
  <c r="S114"/>
  <c r="R114"/>
  <c r="T114" s="1"/>
  <c r="P114"/>
  <c r="O114"/>
  <c r="Q114" s="1"/>
  <c r="K114"/>
  <c r="J114"/>
  <c r="J113" s="1"/>
  <c r="G114"/>
  <c r="I112" s="1"/>
  <c r="F114"/>
  <c r="E114"/>
  <c r="H114" s="1"/>
  <c r="D114"/>
  <c r="C114"/>
  <c r="S113"/>
  <c r="R113"/>
  <c r="T113" s="1"/>
  <c r="P113"/>
  <c r="O113"/>
  <c r="Q113" s="1"/>
  <c r="K113"/>
  <c r="G113"/>
  <c r="M113" s="1"/>
  <c r="F113"/>
  <c r="E113"/>
  <c r="H113" s="1"/>
  <c r="D113"/>
  <c r="C113"/>
  <c r="N112"/>
  <c r="M112"/>
  <c r="L112"/>
  <c r="K112"/>
  <c r="H112"/>
  <c r="N111"/>
  <c r="M111"/>
  <c r="L111"/>
  <c r="K111"/>
  <c r="H111"/>
  <c r="N110"/>
  <c r="M110"/>
  <c r="L110"/>
  <c r="K110"/>
  <c r="I110"/>
  <c r="H110"/>
  <c r="T109"/>
  <c r="Q109"/>
  <c r="N109"/>
  <c r="M109"/>
  <c r="L109"/>
  <c r="K109"/>
  <c r="I109"/>
  <c r="H109"/>
  <c r="T108"/>
  <c r="Q108"/>
  <c r="N108"/>
  <c r="M108"/>
  <c r="L108"/>
  <c r="K108"/>
  <c r="I108"/>
  <c r="H108"/>
  <c r="T107"/>
  <c r="Q107"/>
  <c r="N107"/>
  <c r="M107"/>
  <c r="L107"/>
  <c r="K107"/>
  <c r="I107"/>
  <c r="H107"/>
  <c r="T106"/>
  <c r="Q106"/>
  <c r="N106"/>
  <c r="M106"/>
  <c r="L106"/>
  <c r="K106"/>
  <c r="I106"/>
  <c r="H106"/>
  <c r="T105"/>
  <c r="Q105"/>
  <c r="N105"/>
  <c r="M105"/>
  <c r="L105"/>
  <c r="K105"/>
  <c r="I105"/>
  <c r="H105"/>
  <c r="T104"/>
  <c r="Q104"/>
  <c r="N104"/>
  <c r="M104"/>
  <c r="L104"/>
  <c r="K104"/>
  <c r="I104"/>
  <c r="H104"/>
  <c r="T103"/>
  <c r="Q103"/>
  <c r="N103"/>
  <c r="M103"/>
  <c r="L103"/>
  <c r="K103"/>
  <c r="I103"/>
  <c r="H103"/>
  <c r="S102"/>
  <c r="R102"/>
  <c r="T102" s="1"/>
  <c r="P102"/>
  <c r="O102"/>
  <c r="Q102" s="1"/>
  <c r="K102"/>
  <c r="J102"/>
  <c r="G102"/>
  <c r="M102" s="1"/>
  <c r="F102"/>
  <c r="E102"/>
  <c r="H102" s="1"/>
  <c r="D102"/>
  <c r="C102"/>
  <c r="U101"/>
  <c r="T101"/>
  <c r="Q101"/>
  <c r="N101"/>
  <c r="M101"/>
  <c r="L101"/>
  <c r="K101"/>
  <c r="J101"/>
  <c r="H101"/>
  <c r="N100"/>
  <c r="M100"/>
  <c r="L100"/>
  <c r="K100"/>
  <c r="H100"/>
  <c r="T99"/>
  <c r="Q99"/>
  <c r="N99"/>
  <c r="M99"/>
  <c r="K99"/>
  <c r="H99"/>
  <c r="E99"/>
  <c r="L99" s="1"/>
  <c r="S98"/>
  <c r="R98"/>
  <c r="T98" s="1"/>
  <c r="P98"/>
  <c r="O98"/>
  <c r="Q98" s="1"/>
  <c r="N98"/>
  <c r="M98"/>
  <c r="L98"/>
  <c r="K98"/>
  <c r="H98"/>
  <c r="T97"/>
  <c r="Q97"/>
  <c r="N97"/>
  <c r="M97"/>
  <c r="L97"/>
  <c r="K97"/>
  <c r="H97"/>
  <c r="T96"/>
  <c r="Q96"/>
  <c r="N96"/>
  <c r="M96"/>
  <c r="L96"/>
  <c r="K96"/>
  <c r="I96"/>
  <c r="H96"/>
  <c r="T95"/>
  <c r="Q95"/>
  <c r="N95"/>
  <c r="M95"/>
  <c r="L95"/>
  <c r="K95"/>
  <c r="I95"/>
  <c r="H95"/>
  <c r="T94"/>
  <c r="Q94"/>
  <c r="N94"/>
  <c r="M94"/>
  <c r="L94"/>
  <c r="K94"/>
  <c r="H94"/>
  <c r="N93"/>
  <c r="M93"/>
  <c r="L93"/>
  <c r="I93"/>
  <c r="H93"/>
  <c r="S92"/>
  <c r="R92"/>
  <c r="T92" s="1"/>
  <c r="P92"/>
  <c r="O92"/>
  <c r="Q92" s="1"/>
  <c r="N92"/>
  <c r="M92"/>
  <c r="L92"/>
  <c r="K92"/>
  <c r="H92"/>
  <c r="T91"/>
  <c r="Q91"/>
  <c r="N91"/>
  <c r="M91"/>
  <c r="L91"/>
  <c r="K91"/>
  <c r="I91"/>
  <c r="H91"/>
  <c r="T90"/>
  <c r="Q90"/>
  <c r="N90"/>
  <c r="M90"/>
  <c r="L90"/>
  <c r="K90"/>
  <c r="I90"/>
  <c r="H90"/>
  <c r="S89"/>
  <c r="T89" s="1"/>
  <c r="P89"/>
  <c r="Q89" s="1"/>
  <c r="N89"/>
  <c r="M89"/>
  <c r="L89"/>
  <c r="K89"/>
  <c r="I89"/>
  <c r="H89"/>
  <c r="T88"/>
  <c r="Q88"/>
  <c r="N88"/>
  <c r="M88"/>
  <c r="L88"/>
  <c r="K88"/>
  <c r="I88"/>
  <c r="H88"/>
  <c r="T87"/>
  <c r="Q87"/>
  <c r="N87"/>
  <c r="M87"/>
  <c r="L87"/>
  <c r="K87"/>
  <c r="I87"/>
  <c r="H87"/>
  <c r="T86"/>
  <c r="Q86"/>
  <c r="N86"/>
  <c r="M86"/>
  <c r="L86"/>
  <c r="K86"/>
  <c r="I86"/>
  <c r="H86"/>
  <c r="T85"/>
  <c r="Q85"/>
  <c r="N85"/>
  <c r="M85"/>
  <c r="L85"/>
  <c r="K85"/>
  <c r="I85"/>
  <c r="H85"/>
  <c r="T84"/>
  <c r="Q84"/>
  <c r="N84"/>
  <c r="M84"/>
  <c r="L84"/>
  <c r="K84"/>
  <c r="I84"/>
  <c r="H84"/>
  <c r="T83"/>
  <c r="Q83"/>
  <c r="N83"/>
  <c r="M83"/>
  <c r="L83"/>
  <c r="K83"/>
  <c r="I83"/>
  <c r="H83"/>
  <c r="N82"/>
  <c r="M82"/>
  <c r="L82"/>
  <c r="I82"/>
  <c r="H82"/>
  <c r="S81"/>
  <c r="R81"/>
  <c r="T81" s="1"/>
  <c r="P81"/>
  <c r="P80" s="1"/>
  <c r="P79" s="1"/>
  <c r="P51" s="1"/>
  <c r="O81"/>
  <c r="Q81" s="1"/>
  <c r="N81"/>
  <c r="K81"/>
  <c r="E81"/>
  <c r="L81" s="1"/>
  <c r="S80"/>
  <c r="O80"/>
  <c r="Q80" s="1"/>
  <c r="K80"/>
  <c r="J80"/>
  <c r="G80"/>
  <c r="M80" s="1"/>
  <c r="F80"/>
  <c r="E80"/>
  <c r="H80" s="1"/>
  <c r="D80"/>
  <c r="C80"/>
  <c r="S79"/>
  <c r="O79"/>
  <c r="Q79" s="1"/>
  <c r="N79"/>
  <c r="M79"/>
  <c r="L79"/>
  <c r="K79"/>
  <c r="J79"/>
  <c r="H79"/>
  <c r="C79"/>
  <c r="T78"/>
  <c r="Q78"/>
  <c r="N78"/>
  <c r="L78"/>
  <c r="K78"/>
  <c r="H78"/>
  <c r="D78"/>
  <c r="T77"/>
  <c r="Q77"/>
  <c r="N77"/>
  <c r="M77"/>
  <c r="L77"/>
  <c r="K77"/>
  <c r="H77"/>
  <c r="D77"/>
  <c r="N76"/>
  <c r="M76"/>
  <c r="L76"/>
  <c r="K76"/>
  <c r="H76"/>
  <c r="N75"/>
  <c r="M75"/>
  <c r="L75"/>
  <c r="H75"/>
  <c r="T74"/>
  <c r="Q74"/>
  <c r="N74"/>
  <c r="M74"/>
  <c r="L74"/>
  <c r="K74"/>
  <c r="H74"/>
  <c r="D74"/>
  <c r="T73"/>
  <c r="Q73"/>
  <c r="N73"/>
  <c r="M73"/>
  <c r="L73"/>
  <c r="K73"/>
  <c r="H73"/>
  <c r="S72"/>
  <c r="R72"/>
  <c r="T72" s="1"/>
  <c r="P72"/>
  <c r="O72"/>
  <c r="Q72" s="1"/>
  <c r="L72"/>
  <c r="K72"/>
  <c r="J72"/>
  <c r="H72"/>
  <c r="G72"/>
  <c r="M72" s="1"/>
  <c r="F72"/>
  <c r="N72" s="1"/>
  <c r="E72"/>
  <c r="D72"/>
  <c r="C72"/>
  <c r="S71"/>
  <c r="R71"/>
  <c r="T71" s="1"/>
  <c r="P71"/>
  <c r="O71"/>
  <c r="Q71" s="1"/>
  <c r="L71"/>
  <c r="K71"/>
  <c r="J71"/>
  <c r="H71"/>
  <c r="G71"/>
  <c r="M71" s="1"/>
  <c r="F71"/>
  <c r="N71" s="1"/>
  <c r="E71"/>
  <c r="D71"/>
  <c r="C71"/>
  <c r="N70"/>
  <c r="M70"/>
  <c r="L70"/>
  <c r="K70"/>
  <c r="H70"/>
  <c r="N69"/>
  <c r="M69"/>
  <c r="L69"/>
  <c r="K69"/>
  <c r="H69"/>
  <c r="N68"/>
  <c r="M68"/>
  <c r="L68"/>
  <c r="K68"/>
  <c r="H68"/>
  <c r="D68"/>
  <c r="C68"/>
  <c r="N67"/>
  <c r="M67"/>
  <c r="L67"/>
  <c r="K67"/>
  <c r="T66"/>
  <c r="Q66"/>
  <c r="N66"/>
  <c r="M66"/>
  <c r="L66"/>
  <c r="K66"/>
  <c r="H66"/>
  <c r="D66"/>
  <c r="C66"/>
  <c r="T65"/>
  <c r="Q65"/>
  <c r="N65"/>
  <c r="M65"/>
  <c r="L65"/>
  <c r="K65"/>
  <c r="H65"/>
  <c r="D65"/>
  <c r="C65"/>
  <c r="T64"/>
  <c r="Q64"/>
  <c r="N64"/>
  <c r="M64"/>
  <c r="L64"/>
  <c r="K64"/>
  <c r="H64"/>
  <c r="D64"/>
  <c r="C64"/>
  <c r="S63"/>
  <c r="R63"/>
  <c r="T63" s="1"/>
  <c r="P63"/>
  <c r="O63"/>
  <c r="Q63" s="1"/>
  <c r="K63"/>
  <c r="J63"/>
  <c r="H63"/>
  <c r="G63"/>
  <c r="M63" s="1"/>
  <c r="F63"/>
  <c r="E63"/>
  <c r="D63"/>
  <c r="C63"/>
  <c r="S62"/>
  <c r="R62"/>
  <c r="T62" s="1"/>
  <c r="P62"/>
  <c r="O62"/>
  <c r="Q62" s="1"/>
  <c r="K62"/>
  <c r="J62"/>
  <c r="G62"/>
  <c r="M62" s="1"/>
  <c r="F62"/>
  <c r="E62"/>
  <c r="H62" s="1"/>
  <c r="D62"/>
  <c r="C62"/>
  <c r="U61"/>
  <c r="T61"/>
  <c r="Q61"/>
  <c r="N61"/>
  <c r="M61"/>
  <c r="L61"/>
  <c r="K61"/>
  <c r="J61"/>
  <c r="H61"/>
  <c r="S60"/>
  <c r="T60" s="1"/>
  <c r="P60"/>
  <c r="Q60" s="1"/>
  <c r="N60"/>
  <c r="M60"/>
  <c r="L60"/>
  <c r="K60"/>
  <c r="H60"/>
  <c r="C60"/>
  <c r="H59"/>
  <c r="S58"/>
  <c r="R58"/>
  <c r="T58" s="1"/>
  <c r="P58"/>
  <c r="O58"/>
  <c r="Q58" s="1"/>
  <c r="K58"/>
  <c r="J58"/>
  <c r="G58"/>
  <c r="M58" s="1"/>
  <c r="F58"/>
  <c r="E58"/>
  <c r="H58" s="1"/>
  <c r="D58"/>
  <c r="C58"/>
  <c r="T57"/>
  <c r="Q57"/>
  <c r="N57"/>
  <c r="M57"/>
  <c r="L57"/>
  <c r="K57"/>
  <c r="H57"/>
  <c r="C57"/>
  <c r="H56"/>
  <c r="S55"/>
  <c r="R55"/>
  <c r="T55" s="1"/>
  <c r="P55"/>
  <c r="O55"/>
  <c r="Q55" s="1"/>
  <c r="K55"/>
  <c r="J55"/>
  <c r="G55"/>
  <c r="M55" s="1"/>
  <c r="F55"/>
  <c r="E55"/>
  <c r="H55" s="1"/>
  <c r="D55"/>
  <c r="C55"/>
  <c r="S54"/>
  <c r="R54"/>
  <c r="T54" s="1"/>
  <c r="P54"/>
  <c r="O54"/>
  <c r="Q54" s="1"/>
  <c r="K54"/>
  <c r="J54"/>
  <c r="G54"/>
  <c r="M54" s="1"/>
  <c r="F54"/>
  <c r="E54"/>
  <c r="H54" s="1"/>
  <c r="D54"/>
  <c r="C54"/>
  <c r="S53"/>
  <c r="R53"/>
  <c r="T53" s="1"/>
  <c r="P53"/>
  <c r="O53"/>
  <c r="Q53" s="1"/>
  <c r="K53"/>
  <c r="J53"/>
  <c r="G53"/>
  <c r="M53" s="1"/>
  <c r="F53"/>
  <c r="E53"/>
  <c r="H53" s="1"/>
  <c r="D53"/>
  <c r="C53"/>
  <c r="S52"/>
  <c r="R52"/>
  <c r="T52" s="1"/>
  <c r="P52"/>
  <c r="O52"/>
  <c r="Q52" s="1"/>
  <c r="K52"/>
  <c r="J52"/>
  <c r="G52"/>
  <c r="M52" s="1"/>
  <c r="F52"/>
  <c r="E52"/>
  <c r="H52" s="1"/>
  <c r="D52"/>
  <c r="C52"/>
  <c r="S51"/>
  <c r="O51"/>
  <c r="O297" s="1"/>
  <c r="K51"/>
  <c r="J51"/>
  <c r="G51"/>
  <c r="M51" s="1"/>
  <c r="F51"/>
  <c r="E51"/>
  <c r="H51" s="1"/>
  <c r="H297" s="1"/>
  <c r="H309" s="1"/>
  <c r="D51"/>
  <c r="C51"/>
  <c r="C297" s="1"/>
  <c r="K48"/>
  <c r="T47"/>
  <c r="Q47"/>
  <c r="N47"/>
  <c r="M47"/>
  <c r="L47"/>
  <c r="K47"/>
  <c r="H47"/>
  <c r="N46"/>
  <c r="M46"/>
  <c r="L46"/>
  <c r="K46"/>
  <c r="N45"/>
  <c r="M45"/>
  <c r="L45"/>
  <c r="K45"/>
  <c r="H45"/>
  <c r="T44"/>
  <c r="Q44"/>
  <c r="N44"/>
  <c r="M44"/>
  <c r="L44"/>
  <c r="K44"/>
  <c r="H44"/>
  <c r="S43"/>
  <c r="R43"/>
  <c r="T43" s="1"/>
  <c r="P43"/>
  <c r="O43"/>
  <c r="Q43" s="1"/>
  <c r="M43"/>
  <c r="K43"/>
  <c r="J43"/>
  <c r="H43"/>
  <c r="G43"/>
  <c r="N43" s="1"/>
  <c r="F43"/>
  <c r="E43"/>
  <c r="D43"/>
  <c r="C43"/>
  <c r="N42"/>
  <c r="M42"/>
  <c r="L42"/>
  <c r="H42"/>
  <c r="T41"/>
  <c r="Q41"/>
  <c r="N41"/>
  <c r="M41"/>
  <c r="L41"/>
  <c r="K41"/>
  <c r="H41"/>
  <c r="T40"/>
  <c r="Q40"/>
  <c r="N40"/>
  <c r="M40"/>
  <c r="L40"/>
  <c r="K40"/>
  <c r="H40"/>
  <c r="S39"/>
  <c r="R39"/>
  <c r="T39" s="1"/>
  <c r="P39"/>
  <c r="O39"/>
  <c r="Q39" s="1"/>
  <c r="K39"/>
  <c r="J39"/>
  <c r="G39"/>
  <c r="N39" s="1"/>
  <c r="E39"/>
  <c r="H39" s="1"/>
  <c r="D39"/>
  <c r="C39"/>
  <c r="S38"/>
  <c r="R38"/>
  <c r="T38" s="1"/>
  <c r="P38"/>
  <c r="O38"/>
  <c r="Q38" s="1"/>
  <c r="N38"/>
  <c r="M38"/>
  <c r="L38"/>
  <c r="K38"/>
  <c r="H38"/>
  <c r="S37"/>
  <c r="R37"/>
  <c r="T37" s="1"/>
  <c r="P37"/>
  <c r="O37"/>
  <c r="Q37" s="1"/>
  <c r="K37"/>
  <c r="J37"/>
  <c r="H37"/>
  <c r="G37"/>
  <c r="N37" s="1"/>
  <c r="F37"/>
  <c r="E37"/>
  <c r="M37" s="1"/>
  <c r="D37"/>
  <c r="C37"/>
  <c r="T36"/>
  <c r="Q36"/>
  <c r="N36"/>
  <c r="M36"/>
  <c r="L36"/>
  <c r="K36"/>
  <c r="H36"/>
  <c r="N35"/>
  <c r="M35"/>
  <c r="L35"/>
  <c r="H35"/>
  <c r="S34"/>
  <c r="R34"/>
  <c r="T34" s="1"/>
  <c r="P34"/>
  <c r="O34"/>
  <c r="Q34" s="1"/>
  <c r="K34"/>
  <c r="J34"/>
  <c r="H34"/>
  <c r="G34"/>
  <c r="M34" s="1"/>
  <c r="F34"/>
  <c r="E34"/>
  <c r="D34"/>
  <c r="C34"/>
  <c r="S33"/>
  <c r="R33"/>
  <c r="T33" s="1"/>
  <c r="P33"/>
  <c r="O33"/>
  <c r="Q33" s="1"/>
  <c r="K33"/>
  <c r="J33"/>
  <c r="H33"/>
  <c r="G33"/>
  <c r="N33" s="1"/>
  <c r="F33"/>
  <c r="E33"/>
  <c r="D33"/>
  <c r="C33"/>
  <c r="T32"/>
  <c r="Q32"/>
  <c r="N32"/>
  <c r="M32"/>
  <c r="L32"/>
  <c r="K32"/>
  <c r="H32"/>
  <c r="N31"/>
  <c r="M31"/>
  <c r="L31"/>
  <c r="K31"/>
  <c r="H31"/>
  <c r="S30"/>
  <c r="R30"/>
  <c r="T30" s="1"/>
  <c r="P30"/>
  <c r="O30"/>
  <c r="Q30" s="1"/>
  <c r="K30"/>
  <c r="J30"/>
  <c r="H30"/>
  <c r="G30"/>
  <c r="M30" s="1"/>
  <c r="F30"/>
  <c r="E30"/>
  <c r="D30"/>
  <c r="C30"/>
  <c r="N29"/>
  <c r="M29"/>
  <c r="L29"/>
  <c r="K29"/>
  <c r="H29"/>
  <c r="T28"/>
  <c r="Q28"/>
  <c r="N28"/>
  <c r="M28"/>
  <c r="L28"/>
  <c r="K28"/>
  <c r="H28"/>
  <c r="T27"/>
  <c r="Q27"/>
  <c r="N27"/>
  <c r="M27"/>
  <c r="L27"/>
  <c r="K27"/>
  <c r="H27"/>
  <c r="S26"/>
  <c r="R26"/>
  <c r="T26" s="1"/>
  <c r="P26"/>
  <c r="O26"/>
  <c r="Q26" s="1"/>
  <c r="K26"/>
  <c r="J26"/>
  <c r="G26"/>
  <c r="M26" s="1"/>
  <c r="F26"/>
  <c r="E26"/>
  <c r="H26" s="1"/>
  <c r="D26"/>
  <c r="C26"/>
  <c r="N25"/>
  <c r="M25"/>
  <c r="L25"/>
  <c r="K25"/>
  <c r="H25"/>
  <c r="T24"/>
  <c r="Q24"/>
  <c r="N24"/>
  <c r="M24"/>
  <c r="L24"/>
  <c r="K24"/>
  <c r="H24"/>
  <c r="T23"/>
  <c r="Q23"/>
  <c r="N23"/>
  <c r="M23"/>
  <c r="L23"/>
  <c r="K23"/>
  <c r="H23"/>
  <c r="N22"/>
  <c r="M22"/>
  <c r="L22"/>
  <c r="K22"/>
  <c r="H22"/>
  <c r="T21"/>
  <c r="Q21"/>
  <c r="N21"/>
  <c r="M21"/>
  <c r="L21"/>
  <c r="K21"/>
  <c r="H21"/>
  <c r="S20"/>
  <c r="R20"/>
  <c r="T20" s="1"/>
  <c r="P20"/>
  <c r="O20"/>
  <c r="Q20" s="1"/>
  <c r="K20"/>
  <c r="J20"/>
  <c r="G20"/>
  <c r="M20" s="1"/>
  <c r="F20"/>
  <c r="E20"/>
  <c r="H20" s="1"/>
  <c r="D20"/>
  <c r="C20"/>
  <c r="S19"/>
  <c r="R19"/>
  <c r="T19" s="1"/>
  <c r="P19"/>
  <c r="O19"/>
  <c r="Q19" s="1"/>
  <c r="K19"/>
  <c r="J19"/>
  <c r="G19"/>
  <c r="N19" s="1"/>
  <c r="F19"/>
  <c r="E19"/>
  <c r="H19" s="1"/>
  <c r="D19"/>
  <c r="C19"/>
  <c r="T18"/>
  <c r="Q18"/>
  <c r="N18"/>
  <c r="M18"/>
  <c r="L18"/>
  <c r="K18"/>
  <c r="H18"/>
  <c r="T17"/>
  <c r="Q17"/>
  <c r="N17"/>
  <c r="M17"/>
  <c r="L17"/>
  <c r="K17"/>
  <c r="H17"/>
  <c r="S16"/>
  <c r="R16"/>
  <c r="T16" s="1"/>
  <c r="P16"/>
  <c r="O16"/>
  <c r="Q16" s="1"/>
  <c r="K16"/>
  <c r="J16"/>
  <c r="G16"/>
  <c r="M16" s="1"/>
  <c r="F16"/>
  <c r="E16"/>
  <c r="H16" s="1"/>
  <c r="D16"/>
  <c r="C16"/>
  <c r="T15"/>
  <c r="Q15"/>
  <c r="N15"/>
  <c r="M15"/>
  <c r="L15"/>
  <c r="K15"/>
  <c r="H15"/>
  <c r="S14"/>
  <c r="R14"/>
  <c r="T14" s="1"/>
  <c r="P14"/>
  <c r="O14"/>
  <c r="Q14" s="1"/>
  <c r="K14"/>
  <c r="J14"/>
  <c r="G14"/>
  <c r="M14" s="1"/>
  <c r="F14"/>
  <c r="E14"/>
  <c r="H14" s="1"/>
  <c r="D14"/>
  <c r="C14"/>
  <c r="N13"/>
  <c r="M13"/>
  <c r="L13"/>
  <c r="K13"/>
  <c r="N12"/>
  <c r="M12"/>
  <c r="L12"/>
  <c r="K12"/>
  <c r="N11"/>
  <c r="M11"/>
  <c r="L11"/>
  <c r="K11"/>
  <c r="N10"/>
  <c r="M10"/>
  <c r="L10"/>
  <c r="K10"/>
  <c r="N9"/>
  <c r="M9"/>
  <c r="L9"/>
  <c r="K9"/>
  <c r="J9"/>
  <c r="T8"/>
  <c r="Q8"/>
  <c r="N8"/>
  <c r="M8"/>
  <c r="L8"/>
  <c r="K8"/>
  <c r="H8"/>
  <c r="S7"/>
  <c r="R7"/>
  <c r="T7" s="1"/>
  <c r="P7"/>
  <c r="O7"/>
  <c r="Q7" s="1"/>
  <c r="K7"/>
  <c r="J7"/>
  <c r="G7"/>
  <c r="N7" s="1"/>
  <c r="F7"/>
  <c r="E7"/>
  <c r="H7" s="1"/>
  <c r="H6" s="1"/>
  <c r="D7"/>
  <c r="C7"/>
  <c r="S6"/>
  <c r="R6"/>
  <c r="T6" s="1"/>
  <c r="P6"/>
  <c r="O6"/>
  <c r="Q6" s="1"/>
  <c r="K6"/>
  <c r="J6"/>
  <c r="G6"/>
  <c r="M6" s="1"/>
  <c r="F6"/>
  <c r="E6"/>
  <c r="D6"/>
  <c r="C6"/>
  <c r="S5"/>
  <c r="S48" s="1"/>
  <c r="R5"/>
  <c r="T5" s="1"/>
  <c r="P5"/>
  <c r="P48" s="1"/>
  <c r="O5"/>
  <c r="O48" s="1"/>
  <c r="K5"/>
  <c r="J5"/>
  <c r="J48" s="1"/>
  <c r="G5"/>
  <c r="N5" s="1"/>
  <c r="F5"/>
  <c r="F48" s="1"/>
  <c r="E5"/>
  <c r="E48" s="1"/>
  <c r="D5"/>
  <c r="D48" s="1"/>
  <c r="C5"/>
  <c r="C48" s="1"/>
  <c r="C300" l="1"/>
  <c r="C299"/>
  <c r="E300"/>
  <c r="P308"/>
  <c r="S308"/>
  <c r="D300"/>
  <c r="F308"/>
  <c r="F300"/>
  <c r="I300" s="1"/>
  <c r="J308"/>
  <c r="J300"/>
  <c r="O308"/>
  <c r="O299"/>
  <c r="Q48"/>
  <c r="H5"/>
  <c r="M5"/>
  <c r="Q5"/>
  <c r="L6"/>
  <c r="N6"/>
  <c r="M7"/>
  <c r="L14"/>
  <c r="N14"/>
  <c r="L16"/>
  <c r="N16"/>
  <c r="M19"/>
  <c r="L20"/>
  <c r="N20"/>
  <c r="L26"/>
  <c r="N26"/>
  <c r="L30"/>
  <c r="N30"/>
  <c r="M33"/>
  <c r="L34"/>
  <c r="N34"/>
  <c r="L37"/>
  <c r="M39"/>
  <c r="L43"/>
  <c r="G48"/>
  <c r="R48"/>
  <c r="J297"/>
  <c r="J309" s="1"/>
  <c r="L51"/>
  <c r="N51"/>
  <c r="L52"/>
  <c r="N52"/>
  <c r="L53"/>
  <c r="N53"/>
  <c r="L54"/>
  <c r="N54"/>
  <c r="L55"/>
  <c r="N55"/>
  <c r="L58"/>
  <c r="N58"/>
  <c r="L62"/>
  <c r="N62"/>
  <c r="L63"/>
  <c r="N63"/>
  <c r="L80"/>
  <c r="N80"/>
  <c r="R80"/>
  <c r="H81"/>
  <c r="M81"/>
  <c r="L102"/>
  <c r="N102"/>
  <c r="I111"/>
  <c r="L113"/>
  <c r="N113"/>
  <c r="O309"/>
  <c r="Q297"/>
  <c r="M114"/>
  <c r="N114"/>
  <c r="L114"/>
  <c r="S211"/>
  <c r="Q211"/>
  <c r="P210"/>
  <c r="P201" s="1"/>
  <c r="P170" s="1"/>
  <c r="P297" s="1"/>
  <c r="Q212"/>
  <c r="S212"/>
  <c r="T212" s="1"/>
  <c r="L5"/>
  <c r="L7"/>
  <c r="L19"/>
  <c r="L33"/>
  <c r="L39"/>
  <c r="Q51"/>
  <c r="I102"/>
  <c r="Q170"/>
  <c r="Q201"/>
  <c r="U297"/>
  <c r="D297"/>
  <c r="D299" s="1"/>
  <c r="D301" s="1"/>
  <c r="F297"/>
  <c r="F309" s="1"/>
  <c r="M115"/>
  <c r="I116"/>
  <c r="M116"/>
  <c r="N122"/>
  <c r="L123"/>
  <c r="N123"/>
  <c r="L128"/>
  <c r="N128"/>
  <c r="L130"/>
  <c r="N130"/>
  <c r="M131"/>
  <c r="L141"/>
  <c r="N141"/>
  <c r="M142"/>
  <c r="L165"/>
  <c r="N165"/>
  <c r="L167"/>
  <c r="L170"/>
  <c r="N170"/>
  <c r="L171"/>
  <c r="N171"/>
  <c r="L172"/>
  <c r="N172"/>
  <c r="M173"/>
  <c r="M174"/>
  <c r="L175"/>
  <c r="N175"/>
  <c r="M199"/>
  <c r="M201"/>
  <c r="M202"/>
  <c r="L203"/>
  <c r="N203"/>
  <c r="M207"/>
  <c r="M208"/>
  <c r="L210"/>
  <c r="N210"/>
  <c r="L211"/>
  <c r="N211"/>
  <c r="M212"/>
  <c r="L215"/>
  <c r="N215"/>
  <c r="M216"/>
  <c r="N221"/>
  <c r="M223"/>
  <c r="N226"/>
  <c r="M228"/>
  <c r="M229"/>
  <c r="L235"/>
  <c r="N235"/>
  <c r="L236"/>
  <c r="N236"/>
  <c r="L237"/>
  <c r="N237"/>
  <c r="L243"/>
  <c r="N243"/>
  <c r="L244"/>
  <c r="N244"/>
  <c r="M251"/>
  <c r="M252"/>
  <c r="M253"/>
  <c r="H259"/>
  <c r="L259"/>
  <c r="N259"/>
  <c r="M260"/>
  <c r="M267"/>
  <c r="M268"/>
  <c r="L276"/>
  <c r="N276"/>
  <c r="L279"/>
  <c r="N279"/>
  <c r="M284"/>
  <c r="M285"/>
  <c r="M286"/>
  <c r="E297"/>
  <c r="E299" s="1"/>
  <c r="E301" s="1"/>
  <c r="G297"/>
  <c r="H115"/>
  <c r="L116"/>
  <c r="I123"/>
  <c r="I130"/>
  <c r="L131"/>
  <c r="I141"/>
  <c r="H167"/>
  <c r="I170"/>
  <c r="I171"/>
  <c r="I172"/>
  <c r="I173"/>
  <c r="L173"/>
  <c r="L174"/>
  <c r="L199"/>
  <c r="L201"/>
  <c r="L202"/>
  <c r="I203"/>
  <c r="L207"/>
  <c r="L208"/>
  <c r="I210"/>
  <c r="I211"/>
  <c r="L212"/>
  <c r="I215"/>
  <c r="L216"/>
  <c r="L223"/>
  <c r="L228"/>
  <c r="L229"/>
  <c r="I235"/>
  <c r="I236"/>
  <c r="I237"/>
  <c r="H243"/>
  <c r="I244"/>
  <c r="L251"/>
  <c r="L252"/>
  <c r="L253"/>
  <c r="I259"/>
  <c r="L260"/>
  <c r="L267"/>
  <c r="L268"/>
  <c r="I276"/>
  <c r="I279"/>
  <c r="L284"/>
  <c r="L285"/>
  <c r="L286"/>
  <c r="P309" l="1"/>
  <c r="P299"/>
  <c r="G309"/>
  <c r="N297"/>
  <c r="L297"/>
  <c r="I296"/>
  <c r="I293"/>
  <c r="I291"/>
  <c r="I290"/>
  <c r="I289"/>
  <c r="I288"/>
  <c r="I283"/>
  <c r="I282"/>
  <c r="I271"/>
  <c r="I270"/>
  <c r="I269"/>
  <c r="I266"/>
  <c r="I265"/>
  <c r="I263"/>
  <c r="I262"/>
  <c r="I257"/>
  <c r="I248"/>
  <c r="I247"/>
  <c r="I246"/>
  <c r="I242"/>
  <c r="I241"/>
  <c r="I239"/>
  <c r="I231"/>
  <c r="I230"/>
  <c r="I224"/>
  <c r="I219"/>
  <c r="I200"/>
  <c r="I194"/>
  <c r="I186"/>
  <c r="I185"/>
  <c r="I182"/>
  <c r="I181"/>
  <c r="I166"/>
  <c r="I146"/>
  <c r="I145"/>
  <c r="I143"/>
  <c r="I142"/>
  <c r="I118"/>
  <c r="M297"/>
  <c r="I297"/>
  <c r="I309" s="1"/>
  <c r="I307" s="1"/>
  <c r="I295"/>
  <c r="I294"/>
  <c r="I292"/>
  <c r="I281"/>
  <c r="I278"/>
  <c r="I277"/>
  <c r="I274"/>
  <c r="I264"/>
  <c r="I258"/>
  <c r="I256"/>
  <c r="I255"/>
  <c r="I250"/>
  <c r="I249"/>
  <c r="I240"/>
  <c r="I234"/>
  <c r="I227"/>
  <c r="I222"/>
  <c r="I189"/>
  <c r="I187"/>
  <c r="I184"/>
  <c r="I180"/>
  <c r="I168"/>
  <c r="I167"/>
  <c r="I160"/>
  <c r="I153"/>
  <c r="I147"/>
  <c r="I144"/>
  <c r="I129"/>
  <c r="I125"/>
  <c r="I124"/>
  <c r="I119"/>
  <c r="I115"/>
  <c r="I98"/>
  <c r="I97"/>
  <c r="I94"/>
  <c r="I81"/>
  <c r="I79"/>
  <c r="I78"/>
  <c r="I76"/>
  <c r="I73"/>
  <c r="I70"/>
  <c r="I69"/>
  <c r="I68"/>
  <c r="I67"/>
  <c r="I101"/>
  <c r="I100"/>
  <c r="I99"/>
  <c r="I92"/>
  <c r="I77"/>
  <c r="I75"/>
  <c r="I74"/>
  <c r="I66"/>
  <c r="I65"/>
  <c r="I64"/>
  <c r="I61"/>
  <c r="I60"/>
  <c r="I57"/>
  <c r="S210"/>
  <c r="T211"/>
  <c r="G308"/>
  <c r="G307" s="1"/>
  <c r="G303" s="1"/>
  <c r="I137" s="1"/>
  <c r="G300"/>
  <c r="I134" s="1"/>
  <c r="G299"/>
  <c r="M48"/>
  <c r="N48"/>
  <c r="L48"/>
  <c r="I253"/>
  <c r="I252"/>
  <c r="I251"/>
  <c r="I175"/>
  <c r="I174"/>
  <c r="I113"/>
  <c r="I80"/>
  <c r="I62"/>
  <c r="I55"/>
  <c r="I53"/>
  <c r="I51"/>
  <c r="I72"/>
  <c r="J299"/>
  <c r="J301" s="1"/>
  <c r="J307"/>
  <c r="J303" s="1"/>
  <c r="H48"/>
  <c r="H300"/>
  <c r="T80"/>
  <c r="R79"/>
  <c r="R308"/>
  <c r="T48"/>
  <c r="I165"/>
  <c r="I128"/>
  <c r="I122"/>
  <c r="I286"/>
  <c r="I285"/>
  <c r="I284"/>
  <c r="I268"/>
  <c r="I267"/>
  <c r="I260"/>
  <c r="I243"/>
  <c r="I229"/>
  <c r="I228"/>
  <c r="I226"/>
  <c r="I223"/>
  <c r="I221"/>
  <c r="I216"/>
  <c r="I212"/>
  <c r="I208"/>
  <c r="I207"/>
  <c r="I202"/>
  <c r="I201"/>
  <c r="I199"/>
  <c r="I131"/>
  <c r="I63"/>
  <c r="I58"/>
  <c r="I54"/>
  <c r="I52"/>
  <c r="I114"/>
  <c r="Q210"/>
  <c r="I71"/>
  <c r="O307"/>
  <c r="O303" s="1"/>
  <c r="F299"/>
  <c r="F307"/>
  <c r="F303" s="1"/>
  <c r="P307"/>
  <c r="P303" s="1"/>
  <c r="C301"/>
  <c r="T79" l="1"/>
  <c r="R51"/>
  <c r="I299"/>
  <c r="F301"/>
  <c r="I301" s="1"/>
  <c r="H308"/>
  <c r="H307" s="1"/>
  <c r="H299"/>
  <c r="N300"/>
  <c r="N299"/>
  <c r="N301" s="1"/>
  <c r="G301"/>
  <c r="I133"/>
  <c r="S201"/>
  <c r="T210"/>
  <c r="S170" l="1"/>
  <c r="T201"/>
  <c r="I135"/>
  <c r="H301"/>
  <c r="R297"/>
  <c r="T51"/>
  <c r="R309" l="1"/>
  <c r="R307" s="1"/>
  <c r="R303" s="1"/>
  <c r="T297"/>
  <c r="R299"/>
  <c r="T170"/>
  <c r="S297"/>
  <c r="S309" l="1"/>
  <c r="S307" s="1"/>
  <c r="S303" s="1"/>
  <c r="S299"/>
</calcChain>
</file>

<file path=xl/sharedStrings.xml><?xml version="1.0" encoding="utf-8"?>
<sst xmlns="http://schemas.openxmlformats.org/spreadsheetml/2006/main" count="442" uniqueCount="362">
  <si>
    <t xml:space="preserve">Исполнение  бюджета муниципального образования город Энгельс за 2013 год  
</t>
  </si>
  <si>
    <t>тыс. руб.</t>
  </si>
  <si>
    <t>Код</t>
  </si>
  <si>
    <t>Наименование</t>
  </si>
  <si>
    <t>Исполнение 2012 год</t>
  </si>
  <si>
    <t>Начальный план 
 2013 года</t>
  </si>
  <si>
    <t>Уточненный план 2013 года</t>
  </si>
  <si>
    <t>Фактическое исполнение на 01.01.2013 г.</t>
  </si>
  <si>
    <t>Фактическое исполнение на 01.01.2014 г.</t>
  </si>
  <si>
    <t>Отклонение плана от потребности (гр.5-гр.7)</t>
  </si>
  <si>
    <t>Уд. вес в 2013 г.</t>
  </si>
  <si>
    <t>Проект бюджета на  2014 год</t>
  </si>
  <si>
    <t>% обеспеченности проекта бюджета от потребности</t>
  </si>
  <si>
    <t>Отклонение от годового плана</t>
  </si>
  <si>
    <t>Процент исполнения годового плана</t>
  </si>
  <si>
    <t>Сравнение исполнения на 01.01.2013 и 2014 гг. 
(с.6-с.5)</t>
  </si>
  <si>
    <t>Потребность на 2014 год по расчетам</t>
  </si>
  <si>
    <t>Потребность на 2015 год по расчетам</t>
  </si>
  <si>
    <t>Проект бюджета на  2015 год</t>
  </si>
  <si>
    <t>1 00 00000 00 0000 000</t>
  </si>
  <si>
    <t>НАЛОГОВЫЕ И НЕНАЛОГОВЫЕ ДОХОДЫ</t>
  </si>
  <si>
    <t>НАЛОГОВЫЕ ДОХОДЫ</t>
  </si>
  <si>
    <t>1 01 00000 00 0000 000</t>
  </si>
  <si>
    <t>НАЛОГИ НА ПРИБЫЛЬ, ДОХОДЫ</t>
  </si>
  <si>
    <t>1 01 02000 01 0000 110</t>
  </si>
  <si>
    <t xml:space="preserve">Налог на доходы физических лиц </t>
  </si>
  <si>
    <t>1 03 00000 00 0000 000</t>
  </si>
  <si>
    <t>НАЛОГИ НА ТОВАРЫ (РАБОТЫ, УСЛУГИ), РЕАЛИЗУЕМЫЕ НА ТЕРРИТОРИИ РОССИЙСКОЙ ФЕДЕРАЦИИ</t>
  </si>
  <si>
    <t>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</si>
  <si>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</si>
  <si>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1 03 02240 01 0000 110</t>
  </si>
  <si>
    <t>Доходы от уплаты акцизов на моторные масла для дизельных и (или) карбюраторных (инжекторных) двигателей, зачисляемые в консолидированные бюджеты субъектов Российской Федерации</t>
  </si>
  <si>
    <t>1 03 02250 01 0000 110</t>
  </si>
  <si>
    <t>Доходы от уплаты акцизов на автомобильный бензин, производимый на территории Российской Федерации, зачисляемые в консолидированные бюджеты субъектов Российской Федерации</t>
  </si>
  <si>
    <t>1 03 02260 01 0000 110</t>
  </si>
  <si>
    <t>Доходы от уплаты акцизов на прямогонный бензин, производимый на территории Российской Федерации, зачисляемые в консолидированные бюджеты субъектов Российской Федерации</t>
  </si>
  <si>
    <t xml:space="preserve">1 05 00000 00 0000 000 </t>
  </si>
  <si>
    <t>НАЛОГИ НА СОВОКУПНЫЙ ДОХОД</t>
  </si>
  <si>
    <t>1 05 03000 01 0000 110</t>
  </si>
  <si>
    <t xml:space="preserve">Единый сельскохозяйственный налог </t>
  </si>
  <si>
    <t>1 06 00000 00 0000 000</t>
  </si>
  <si>
    <t>НАЛОГИ НА ИМУЩЕСТВО</t>
  </si>
  <si>
    <t>1 06 01000 00 0000 110</t>
  </si>
  <si>
    <t>Налог на имущество физических лиц (ф.5-МН)</t>
  </si>
  <si>
    <t>1 06 06000 00 0000 110</t>
  </si>
  <si>
    <t>Земельный налог (прогноз МрИФНС)</t>
  </si>
  <si>
    <t>НЕНАЛОГОВЫЕ ДОХОДЫ</t>
  </si>
  <si>
    <t xml:space="preserve">1 11 00000 00 0000 000 </t>
  </si>
  <si>
    <t>ДОХОДЫ ОТ ИСПОЛЬЗОВАНИЯ ИМУЩЕСТВА, НАХОДЯЩЕГОСЯ В ГОСУДАРСТВЕННОЙ И МУНИЦИПАЛЬНОЙ СОБСТВЕННОСТИ</t>
  </si>
  <si>
    <t xml:space="preserve">1 11 05010 00 0000 120 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</si>
  <si>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</si>
  <si>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1 11 05070 00 0000 120 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</si>
  <si>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</si>
  <si>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 xml:space="preserve">1 11 07010 00 0000 120 </t>
  </si>
  <si>
    <t xml:space="preserve">Доходы от перечисления части прибыли государственных и муниципальных унитарных предприятий, остающейся после уплаты налогов и обязательных платежей </t>
  </si>
  <si>
    <t>1 11 09040 00 0000 120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</si>
  <si>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 бюджетных и автономных учреждений, а также имущества государственных и муниципальных унитарных предприятий, в том числе казенных) (прогноз администратора доходов)</t>
  </si>
  <si>
    <t>1 13 02000 00 0000 130</t>
  </si>
  <si>
    <t>Доходы от компенсации затрат государства</t>
  </si>
  <si>
    <t>1 14 00000 00 0000 000</t>
  </si>
  <si>
    <t>ДОХОДЫ ОТ ПРОДАЖИ МАТЕРИАЛЬНЫХ И НЕМАТЕРИАЛЬНЫХ АКТИВОВ</t>
  </si>
  <si>
    <t>1 14 02050 10 0000 410</t>
  </si>
  <si>
    <t xml:space="preserve">Доходы от реализации  имущества, находящегося в собственности поселений (за исключением имущества муниципальных бюджетных и автономных учреждений, а  также   имущества   муниципальных унитарных предприятий, в том числе казенных), в части реализации основных средств по указанному имуществу (прогноз администратора)    </t>
  </si>
  <si>
    <t>1 14 06010 00 0000 430</t>
  </si>
  <si>
    <t xml:space="preserve">Доходы    от    продажи    земельных    участков, государственная  собственность  на   которые   не разграничена </t>
  </si>
  <si>
    <t>1 14 06020 00 0000 430</t>
  </si>
  <si>
    <t>Доходы    от    продажи    земельных    участков, государственная  собственность  на   которые   разграничена (за исключением земельных участков бюджетных и автономных учреждений)</t>
  </si>
  <si>
    <t>1 16 00000 00 0000 000</t>
  </si>
  <si>
    <t>ШТРАФЫ, САНКЦИИ, ВОЗМЕЩЕНИЕ УЩЕРБА</t>
  </si>
  <si>
    <t>1 16 33050 10 0000 140</t>
  </si>
  <si>
    <t>Денежные взыскания (штрафы) за нарушение законодательства Российской Федерации о размещении заказов на поставки товаров, выполнения работ, оказания услуг</t>
  </si>
  <si>
    <t>1 16 51040 02 0000 140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</si>
  <si>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</si>
  <si>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2 00 00000 00 0000 000</t>
  </si>
  <si>
    <t>БЕЗВОЗМЕЗДНЫЕ ПОСТУПЛЕНИЯ</t>
  </si>
  <si>
    <t>2 02 01000 00 0000 151</t>
  </si>
  <si>
    <t>Дотации бюджетам субъектов Российской Федерации и муниципальных образований</t>
  </si>
  <si>
    <t>2 02 01001 10 0001 151</t>
  </si>
  <si>
    <t>Дотации бюджетам поселений на выравнивание бюджетной обеспеченности из районного фонда финансовой поддержки поселений</t>
  </si>
  <si>
    <t>2 02 01001 10 0002 151</t>
  </si>
  <si>
    <t xml:space="preserve">Дотация бюджетам поселений на выравнивание бюджетной обеспеченности за счет субвенций бюджету муниципального района на исполнение государственных полномочий по расчету и предоставлению дотаций поселениям </t>
  </si>
  <si>
    <t>2 02 02000 00 0000 151</t>
  </si>
  <si>
    <t>Субсидии бюджетам субъектов Российской Федерации и муниципальных образований (межбюджетные субсидии)</t>
  </si>
  <si>
    <t>2 02 02051 10 0000 151</t>
  </si>
  <si>
    <t>Субсидии бюджетам поселений на реализацию федеральных целевых программ</t>
  </si>
  <si>
    <t>2 02 02999 00 0000 151</t>
  </si>
  <si>
    <t>Прочие субсидии</t>
  </si>
  <si>
    <t xml:space="preserve"> 2 02 02999 10 0037 151</t>
  </si>
  <si>
    <t>Субсидия на капитальный ремонт и ремонт дворовых территорий многоквартирных домов, проездов к дворовым территориям многоквартирных домов населенных пунктов за счет средств областного дорожного фонда</t>
  </si>
  <si>
    <t xml:space="preserve"> 2 02 02999 10 0038 151</t>
  </si>
  <si>
    <t>Субсидия на капитальный ремонт и ремонт автомобильных дорог общего пользования населенных пунктов за счет средств областного дорожного фонда</t>
  </si>
  <si>
    <t>2 02 03000 00 0000 151</t>
  </si>
  <si>
    <t>Субвенции от других бюджетов бюджетной системы Российской Федерации</t>
  </si>
  <si>
    <t>2 02 04000 00 0000 151</t>
  </si>
  <si>
    <t>Иные межбюджетные трансферты</t>
  </si>
  <si>
    <t>2 02 04999 10 0001 151</t>
  </si>
  <si>
    <t>Иные межбюджетные трансферты бюджетам поселений из бюджета Энгельсского муниципального района</t>
  </si>
  <si>
    <t>2 02 04999 10 0006 151</t>
  </si>
  <si>
    <t>Межбюджетные трансферты бюджетам поселений области за счет резервного фонда</t>
  </si>
  <si>
    <t>2 07 05000 10 0000 180</t>
  </si>
  <si>
    <t>Прочие безвозмездные поступления</t>
  </si>
  <si>
    <t>2 19 05000 10 0000 151</t>
  </si>
  <si>
    <t>Возврат остатков субсидий, субвенций и иных межбюджетных трансфертов, имеющих целевое назначение, прошлых лет из бюджетов поселений</t>
  </si>
  <si>
    <t>ВСЕГО ДОХОДОВ</t>
  </si>
  <si>
    <t>РАСХОДЫ</t>
  </si>
  <si>
    <t>0100</t>
  </si>
  <si>
    <t>Общегосударственные вопросы</t>
  </si>
  <si>
    <t>0102-0106</t>
  </si>
  <si>
    <t>Государственное управление</t>
  </si>
  <si>
    <t>-заработная плата с начислениями на оплату труда</t>
  </si>
  <si>
    <t>- коммунальные услуги</t>
  </si>
  <si>
    <t>0102</t>
  </si>
  <si>
    <t>Функционирование высшего должностного лица субъекта РФ и органа местного самоуправления</t>
  </si>
  <si>
    <t>Энгельсский городской Совет депутатов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</si>
  <si>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</si>
  <si>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</si>
  <si>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- заработная плата с начислениями на оплату труда</t>
  </si>
  <si>
    <t>- прочие расходы (командировочные расходы, Наше слово", обсл.орг.техники, хоз.товары, канц.товары, орг.техника, открытки, цветы, "Гарант")</t>
  </si>
  <si>
    <t>0104</t>
  </si>
  <si>
    <t>Функционирование Правительства РФ, высших органов исполнительной власти субъектов РФ, местных администраций</t>
  </si>
  <si>
    <t>Администрация МО г.Энгельс</t>
  </si>
  <si>
    <t xml:space="preserve"> </t>
  </si>
  <si>
    <t>- прочие расходы</t>
  </si>
  <si>
    <t xml:space="preserve">расходы на ликвидационную комиссию и выплату среднемесячного заработка на период трудоустройства </t>
  </si>
  <si>
    <t>МБТ ЭМР по архитектуре и градостроительству</t>
  </si>
  <si>
    <t>МБТ ЭМР по ГО и ЧС</t>
  </si>
  <si>
    <t>МБТ ЭМР  по торговле и бытовому обслуживанию</t>
  </si>
  <si>
    <t>0106</t>
  </si>
  <si>
    <t>Обеспечение деятельности финансовых, налоговых и таможенных органов и органов надзора</t>
  </si>
  <si>
    <t>Управление финансов</t>
  </si>
  <si>
    <t>МБТ ЭМР по исполнению бюджета</t>
  </si>
  <si>
    <t>0107</t>
  </si>
  <si>
    <t>Обеспечение проведения выборов и референдумов</t>
  </si>
  <si>
    <t>0111</t>
  </si>
  <si>
    <t xml:space="preserve">Резервный фонд </t>
  </si>
  <si>
    <t>0113</t>
  </si>
  <si>
    <t xml:space="preserve">Другие общегосударственные вопросы  </t>
  </si>
  <si>
    <t>МБУ Благоустройство, в т.ч.:</t>
  </si>
  <si>
    <t>субсидии на выполнение муниципального задания</t>
  </si>
  <si>
    <t>в том числе:</t>
  </si>
  <si>
    <t>Оплата труда</t>
  </si>
  <si>
    <t>Начисления на оплату труда</t>
  </si>
  <si>
    <t>Оплата услуг связи</t>
  </si>
  <si>
    <t>Коммунальные услуги</t>
  </si>
  <si>
    <t>Услуги по содержанию имущества</t>
  </si>
  <si>
    <t>Прочие услуги</t>
  </si>
  <si>
    <t xml:space="preserve">Прочие расходы </t>
  </si>
  <si>
    <t>Увеличение стоимости основных средств</t>
  </si>
  <si>
    <t>Увеличение стоимости материальных запасов</t>
  </si>
  <si>
    <t>субсидии на иные цели</t>
  </si>
  <si>
    <t xml:space="preserve">Погашение кредиторской задолженности </t>
  </si>
  <si>
    <t>Долгосрочная целевая программа «Противодействие коррупции в муниципальном образовании город Энгельс Энгельсского муниципального района Саратовской области на 2012 год»</t>
  </si>
  <si>
    <t>Долгосрочная целевая программа "Развитие малого и среднего предпринимательства в муниципальном образовании город Энгельс Энгельсского муниципального района Саратовской области на 2011-2012 годы"</t>
  </si>
  <si>
    <t xml:space="preserve">Ведомственная целевая программа "Развитие территориального общественного самоуправления в муниципальном образовании город Энгельс Энгельсского муниципального района Саратовской области в 2014 году" </t>
  </si>
  <si>
    <t>2630160</t>
  </si>
  <si>
    <t>Субсидии на оплату членских взносов в Ассоциацию "Совет муниципальных образований Саратовской области"</t>
  </si>
  <si>
    <t>2630200</t>
  </si>
  <si>
    <t>Создание условий для деятельности добровольных формирований населения по охране общественного порядка, МБТ</t>
  </si>
  <si>
    <t>5210300</t>
  </si>
  <si>
    <t>Иные МБТ ЭМР</t>
  </si>
  <si>
    <t>2640170</t>
  </si>
  <si>
    <t>Оценка недвижимости, признание прав и регулирование отношений по государственной и муниципальной собственности (Комитет по имуществу)</t>
  </si>
  <si>
    <t>Прочие расходы, в том числе:</t>
  </si>
  <si>
    <t>оплата по исполнительным листам</t>
  </si>
  <si>
    <t>резервный фонд</t>
  </si>
  <si>
    <t>выкуп нежилого помещения</t>
  </si>
  <si>
    <t>праздничные мероприятия и поддержка малого предпринимательства</t>
  </si>
  <si>
    <t>обеспечение безопасности на водных объектах</t>
  </si>
  <si>
    <t>участие в профилактике терроризма и экстремизма</t>
  </si>
  <si>
    <t>услуги по содействию в обеспечении охраны общественного правопорядка и безопасности (казаки)</t>
  </si>
  <si>
    <t>4501220</t>
  </si>
  <si>
    <t>Оказание поддержки социально ориентированным некоммерческим организациям в пределах полномочий, установленных ст. 31.1 и 31.3 ФЗ  № 7-ФЗ от 12.01.1996 г. (ТОСы) Проект ДЦП на 2014 год</t>
  </si>
  <si>
    <t>МБТ ЭМР на транспортное обслуживание</t>
  </si>
  <si>
    <t>0200</t>
  </si>
  <si>
    <t>Национальная оборона (ВУС в ПМО)</t>
  </si>
  <si>
    <t>0300</t>
  </si>
  <si>
    <t>Национальная безопасность и правоохранительная деятельность</t>
  </si>
  <si>
    <t>2710300</t>
  </si>
  <si>
    <t>Мероприятия по предупреждению и ликвидации последствий чрезвычайных ситуаций и стихийных бедствий</t>
  </si>
  <si>
    <t>- прочие расходы, МБТ ЭМР по ГО и ЧС</t>
  </si>
  <si>
    <t>Мероприятия по гражданской обороне</t>
  </si>
  <si>
    <t>7950900</t>
  </si>
  <si>
    <t xml:space="preserve">Долгосрочная целевая программа "Обеспечение первичных мер пожарной безопасности в границах муниципального образования город Энгельс Энгельсского муниципального района Саратовской области" на 2012-2013 годы, МБТ ЭМР </t>
  </si>
  <si>
    <t>МБТ ЭМР на обеспечение аварийно-спасательных организаций</t>
  </si>
  <si>
    <t>5210607</t>
  </si>
  <si>
    <t>5210636</t>
  </si>
  <si>
    <t>МБТ ЭМР на обеспечение первичных мер пожарной безопасности</t>
  </si>
  <si>
    <t>0400</t>
  </si>
  <si>
    <t>Национальная экономика</t>
  </si>
  <si>
    <t>0408</t>
  </si>
  <si>
    <t>Транспорт</t>
  </si>
  <si>
    <t>Выпадающие доходы в связи с применением регулируемых тарифов, МБТ</t>
  </si>
  <si>
    <t>приобретение иных основных средств</t>
  </si>
  <si>
    <t>МБТ ЭМР выпадающие доходы в связи с применением регулируемых тарифов</t>
  </si>
  <si>
    <t>МБТ ЭМР на приобретение иных основных средств</t>
  </si>
  <si>
    <t>0409</t>
  </si>
  <si>
    <t>Дорожное хозяйство (дорожные фонды), в т.ч.:</t>
  </si>
  <si>
    <t>2720000</t>
  </si>
  <si>
    <t>Бюджетные инвестиции в объекты кап. строительства</t>
  </si>
  <si>
    <t>Поддержка дорожного хозяйства, в т.ч.:</t>
  </si>
  <si>
    <t>2900420</t>
  </si>
  <si>
    <t>Содержание автомобильных дорог общего пользования, МБТ</t>
  </si>
  <si>
    <t>006</t>
  </si>
  <si>
    <t>- субсидии юридическим лицам (МКП Городское хоз-во)</t>
  </si>
  <si>
    <t>500</t>
  </si>
  <si>
    <t>- выполнение функций органами местного самоуправления (дислокация дорожных знаков)</t>
  </si>
  <si>
    <t>- субсидии юридическим лицам (МКП Энгельсгорсвет обслуживание светофорных объектов)</t>
  </si>
  <si>
    <t>кредиторская задолженность за 2013 год УЖКХ</t>
  </si>
  <si>
    <t>Ведомственная целевая программа "Ремонт автомобильных дорог общего пользования в границах Энгельсского муниципального района Саратовской области на 2014 год</t>
  </si>
  <si>
    <t>- субсидии юридическим лицам (ремонт дорог)</t>
  </si>
  <si>
    <t>Долгосрочная целевая программа «Ремонт внутридворовых территорий многоквартирных домов и проездов к внутридворовым территориям многоквартирных домов, расположенных на территории муниципального образования город Энгельс Энгельсского муниципального района Саратовской области на 2012 год»</t>
  </si>
  <si>
    <t>в т.ч. средства муниципального дорожного фонда</t>
  </si>
  <si>
    <t>Ремонт автомобильных дорог общего пользования, МБТ</t>
  </si>
  <si>
    <t>5210120, 5220611</t>
  </si>
  <si>
    <t>Средства областного бюджета (ремонт автомобильных дорог)</t>
  </si>
  <si>
    <t>МБТ ЭМР на ремонт дворовых территорий многоквартирных домов и проездов к дворовым территориям многоквартирных домов</t>
  </si>
  <si>
    <t>5210119, 5220610</t>
  </si>
  <si>
    <t>Средства областного бюджета (ремонт дворовых территорий)</t>
  </si>
  <si>
    <t>Средства областного бюджета (Доступная среда)</t>
  </si>
  <si>
    <r>
      <t xml:space="preserve">Долгосрочная целевая программа "Повышение безопасности дорожного движения на территории муниципального образования город Энгельс Энгельсского муниципального района Саратовской области на 2013-2015 годы" </t>
    </r>
    <r>
      <rPr>
        <sz val="11"/>
        <rFont val="Arial Narrow"/>
        <family val="2"/>
        <charset val="204"/>
      </rPr>
      <t xml:space="preserve"> (горизонтальная и пешеходная разметка)</t>
    </r>
  </si>
  <si>
    <t>- субсидии юридическим лицам</t>
  </si>
  <si>
    <t xml:space="preserve">- выполнение функций органами местного самоуправления </t>
  </si>
  <si>
    <t xml:space="preserve">Долгосрочная целевая программа "Доступная среда на территории муниципального образования город Энгельс Энгельсского муниципального района Саратовской области" на 2011-2012 годы </t>
  </si>
  <si>
    <t>в том числе средства областного бюджета</t>
  </si>
  <si>
    <t>Долгосрочная целевая программа "Ремонт улично-дорожной сети муниципального образования город Энгельс Энгельсского муниципального района Саратовской области на 2011-2012 годы" (кредиторка)</t>
  </si>
  <si>
    <t>Долгосрочная целевая программа «Ремонт автомобильных дорог общего пользования в границах муниципального образования город Энгельс Энгельсского муниципального района Саратовской области на 2012 год»</t>
  </si>
  <si>
    <t>МБТ ЭМР на содержание дорог</t>
  </si>
  <si>
    <t>МБТ ЭМР на содержание дорог (ПМО)</t>
  </si>
  <si>
    <t>МБТ ЭМР на ремонт дорог</t>
  </si>
  <si>
    <t>МБТ на капитальный ремонт дорог</t>
  </si>
  <si>
    <t>МБТ ЭМР обеспечение БДД тех.ср-вами регулирования дорожного движения (ПМО)</t>
  </si>
  <si>
    <t>Ведомственная целевая программа ЭМР «Ремонт автомобильных дорог общего пользования в границах Энгельсского муниципального района Саратовской области на 2014 год» (проект)</t>
  </si>
  <si>
    <t>Ведомственная целевая программа ЭМР  «Ремонт дворовых территорий многоквартирных домов и проездов к дворовым территориям многоквартирных домов, расположенных на территории Энгельсского муниципального района Саратовской области,  на 2014 год» (проект)</t>
  </si>
  <si>
    <t>0412</t>
  </si>
  <si>
    <t>Другие вопросы в области национальной экономики</t>
  </si>
  <si>
    <t xml:space="preserve">МБТ ЭМР на подготовку документов территориального планирования, проведение мероприятий в области архитектуры и градостроительства </t>
  </si>
  <si>
    <t>5210308, 5210603</t>
  </si>
  <si>
    <t>МБТ ЭМР по земельному контролю</t>
  </si>
  <si>
    <t>МБТ ЭМР на создание условий для развития предпринимательства, ДЦП МО г.Энгельс на 2013 год</t>
  </si>
  <si>
    <t>7954000</t>
  </si>
  <si>
    <t>ДЦП "Развитие малого и среднего предпринимательства в МО г.Энгельс ЭМР Саратовской области на 2013 год"</t>
  </si>
  <si>
    <t>0500</t>
  </si>
  <si>
    <t>Жилищно-коммунальное хозяйство</t>
  </si>
  <si>
    <t>0501</t>
  </si>
  <si>
    <t>Жилищное хозяйство</t>
  </si>
  <si>
    <t>Расходы на проведение капитального ремонта жилищного фонда, МБТ, в том числе:</t>
  </si>
  <si>
    <t>102, 104 направление</t>
  </si>
  <si>
    <t>за счет средств соц.найма</t>
  </si>
  <si>
    <t>в т.ч. 100 направление</t>
  </si>
  <si>
    <t xml:space="preserve">Жилищное строительство, в том числе:                    </t>
  </si>
  <si>
    <t xml:space="preserve">капитальный ремонт жилого фонда </t>
  </si>
  <si>
    <t>Обеспечение мероприятий по переселению граждан из аварийного жилищного фонда за счет средств областного бюджета</t>
  </si>
  <si>
    <t>МБТ ЭМР на капитальный ремонт жилищного фонда</t>
  </si>
  <si>
    <t>МБТ ЭМР на замену и модернизацию лифтового оборудования</t>
  </si>
  <si>
    <t>Долгосрочная целевая программа "Переселение граждан Энгельсского муниципального района из аварийного жилищного фонда в 2013 - 2015 годах</t>
  </si>
  <si>
    <t>МБТ ЭМР на проведение ремонтно-восстановительных работ жилого дома по адресу: Энгельс - 1, д. №5</t>
  </si>
  <si>
    <t>Ведомственная целевая программа "Ремонт дворовых территорий многоквартирных домов и проездов к дворовым территориям многоквартирных домов, расположенных на территории Энгельсского муниципального района Саратовской области, на 2014 год"</t>
  </si>
  <si>
    <t>МБТ ЭМР на капитальный ремонт жилищного фонда (ПМО)</t>
  </si>
  <si>
    <t>Средства областного бюджета  (ПМО)</t>
  </si>
  <si>
    <t>Долгосрочная целевая программа "Сохранение выявленных объектов культурного наследия на территории муниципального образования город Энгельс Энгельсского муниципального района Саратовской области, находящихся в муниципальной собственности, на 2011-2020 годы"</t>
  </si>
  <si>
    <t>Долгосрочная целевая программа "Энергосбережение и повышение энергетической эффективности муниципального образования город Энгельс на период с 2011 по 2020 годы"</t>
  </si>
  <si>
    <t xml:space="preserve">Муниципальная программа "Замена и модернизация лифтового оборудования в многоквартирных домах, расположенных на территории муниципального образования город Энгельс Энгельсского муниципального района Саратовской области, в 2014 году" </t>
  </si>
  <si>
    <t>Долгосрочная целевая программа «Переселение граждан из непригодного для проживания жилищного фонда расположенного на территории муниципального образования город Энгельс Энгельсского муниципального района Саратовской области» на 2012-2061 годы</t>
  </si>
  <si>
    <t>0700400</t>
  </si>
  <si>
    <t>Расходы на проведение кап. ремонта жилищного фонда за счет средств областного РФ</t>
  </si>
  <si>
    <t>0700500</t>
  </si>
  <si>
    <t>МБТ ЭМР на проведение аварийно-восстановительных работ жилых домов по адресу: Энгельс-1, д. №12 и №34.</t>
  </si>
  <si>
    <t>Долгосрочная целевая программа "Переселению граждан ЭМР из аварийного жилищного фонда в 2013-2015 годах"</t>
  </si>
  <si>
    <t>Долгосрочная целевая программа "Замена и модернизация лифтового оборудования в многоквартирных домах, расположенных на территории муниципального образования город Энгельс Энгельсского муниципального района Саратовской области" на 2014 год (проект)</t>
  </si>
  <si>
    <t xml:space="preserve">Ведомственная целевая программа ЭМР  «Ремонт дворовых территорий многоквартирных домов и проездов к дворовым территориям многоквартирных домов, расположенных на территории Энгельсского муниципального района Саратовской области,  на 2014 год» (проект) </t>
  </si>
  <si>
    <t>0502</t>
  </si>
  <si>
    <t>Коммунальное хозяйство</t>
  </si>
  <si>
    <t>МБТ ЭМР на схему теплоснабжения</t>
  </si>
  <si>
    <t>0503</t>
  </si>
  <si>
    <t>Благоустройство</t>
  </si>
  <si>
    <t>Уличное освещение:</t>
  </si>
  <si>
    <t>- субсидии юридическим лицам, МБТ</t>
  </si>
  <si>
    <t>5210618, 5210629, 5210630</t>
  </si>
  <si>
    <t>МБТ ЭМР на уличное освещение</t>
  </si>
  <si>
    <t>Озеленение:</t>
  </si>
  <si>
    <t>МБТ ЭМР на озеленение</t>
  </si>
  <si>
    <t>Организация и содержание мест захоронения:</t>
  </si>
  <si>
    <t>- прочие расходы (содержание мест захоронений МУП "Ритуал"), МБТ</t>
  </si>
  <si>
    <t>- прочие расходы (компенсация убытков, в связи с предоставлением услуг ритуального характера МУП "Ритуал"), МБТ</t>
  </si>
  <si>
    <t>5210621, 5210633</t>
  </si>
  <si>
    <t xml:space="preserve">МБТ ЭМР на содержание мест захоронений </t>
  </si>
  <si>
    <t>5210622</t>
  </si>
  <si>
    <t>МБТ ЭМР на компенсацию убытков</t>
  </si>
  <si>
    <t>Прочие мероприятия по благоустройству городских округов и поселений, в т.ч.:</t>
  </si>
  <si>
    <t>- выполнение функций органами местного самоуправления</t>
  </si>
  <si>
    <t>5210620, 5210632</t>
  </si>
  <si>
    <t>МБТ ЭМР на прочие мероприятия по благоустройству</t>
  </si>
  <si>
    <t>МБТ ЭМР на установку детских площадок</t>
  </si>
  <si>
    <t>Долгосрочная целевая программа "Обеспечение первичных мер пожарной безопасности в границах муниципального образования город Энгельс Энгельсского муниципального района Саратовской области" на 2012-2013 годы</t>
  </si>
  <si>
    <t>Долгосрочная целевая программа "Светлый город" на 2011-2013 годы</t>
  </si>
  <si>
    <t>0505</t>
  </si>
  <si>
    <t>Другие вопросы в области жилищно-коммунального хозяйства, в том числе:</t>
  </si>
  <si>
    <t>расходы на содержание управления ЖКХ, в том числе:</t>
  </si>
  <si>
    <t>211,213</t>
  </si>
  <si>
    <t>5210623</t>
  </si>
  <si>
    <t>МБТ ЭМР на содержание аппарата ЖКХ</t>
  </si>
  <si>
    <t>МБТ ЭМР на на содержание КЖКХ</t>
  </si>
  <si>
    <t>5210639</t>
  </si>
  <si>
    <t>МБТ ЭМР на организацию похоронного дела</t>
  </si>
  <si>
    <t>0700</t>
  </si>
  <si>
    <t>Образование-всего</t>
  </si>
  <si>
    <t>Содержание МБУ "Энгельсская молодежь", СТЦ</t>
  </si>
  <si>
    <t xml:space="preserve">Заработная плата, начисления на з/плату </t>
  </si>
  <si>
    <t>Оплата налога на имущество и транспортного налога</t>
  </si>
  <si>
    <t>Проведение мероприятий в области молодежной политики</t>
  </si>
  <si>
    <t>Долгосрочная целевая программа "Город молодежи" на 2010-2012 годы</t>
  </si>
  <si>
    <t>Долгосрочная целевая программа "Развитие физической культуры и спорта в муниципальном образовании город Энгельс Энгельсского муниципального района Саратовской области" на 2012-2013 годы</t>
  </si>
  <si>
    <t>Муниципальная программа "Молодежь муниципального образования город Энгельс Энгельсского муниципального района Саратовской области" на 2013- 2015 годы</t>
  </si>
  <si>
    <t>0800</t>
  </si>
  <si>
    <t>Культура, кинематография  - всего</t>
  </si>
  <si>
    <t>0801</t>
  </si>
  <si>
    <t>Учреждения культуры (ДК "Мелиоратор", ДК "Ударник", ДК "Искра", Краеведческий музей)</t>
  </si>
  <si>
    <t>611</t>
  </si>
  <si>
    <t xml:space="preserve">Прочие расходы  </t>
  </si>
  <si>
    <t>Проведение мероприятий в области культуры учреждениями соц. сферы</t>
  </si>
  <si>
    <t>Капитальный ремонт</t>
  </si>
  <si>
    <t>Долгосрочная целевая программа "Развитие культуры на территории муниципального образования город Энгельс Энгельсского муниципального района Саратовской области" на 2012-2013 годы</t>
  </si>
  <si>
    <t>7950300</t>
  </si>
  <si>
    <t>0804</t>
  </si>
  <si>
    <t>Другие вопросы в области культуры, кинематографии, в том числе:</t>
  </si>
  <si>
    <t>расходы на содержание управления культуры, спорта и молодежной политике, в том числе:</t>
  </si>
  <si>
    <t>223</t>
  </si>
  <si>
    <t>4310100</t>
  </si>
  <si>
    <t>Организация проведения конкурса "Гордость Покровска"</t>
  </si>
  <si>
    <t>7950700</t>
  </si>
  <si>
    <t>расходы на содержание МБУ "Централизованная бухгалтерия муниципальных учреждений культуры, спорта и молодежной политики МО г.Энгельс ЭМР Саратовской области", в том числе:</t>
  </si>
  <si>
    <t>Социальная политика</t>
  </si>
  <si>
    <t xml:space="preserve">доплаты к пенсиям  муниципальным служащим </t>
  </si>
  <si>
    <t>2660190</t>
  </si>
  <si>
    <t>соц. помощь гражданам</t>
  </si>
  <si>
    <t>2500090</t>
  </si>
  <si>
    <t>мероприятия в области соц.политики</t>
  </si>
  <si>
    <t>1101</t>
  </si>
  <si>
    <t>Физическая культура и спорт</t>
  </si>
  <si>
    <t>Центры спортивной подготовки в МО (Стадион "Химик"), в том числе:</t>
  </si>
  <si>
    <t>Ведомственная целевая программа "Развитие физической культуры и спорта на территории муниципального образования город Энгельс Энгельсского муниципального района Саратовской области" на 2014-2016 годы, в том числе:</t>
  </si>
  <si>
    <t>1301</t>
  </si>
  <si>
    <t>Обслуживание муниципального долга</t>
  </si>
  <si>
    <t>1403</t>
  </si>
  <si>
    <t>Прочие межбюджетные трансферты общего характера</t>
  </si>
  <si>
    <t>ВСЕГО РАСХОДОВ</t>
  </si>
  <si>
    <t>ДЕФИЦИТ/ПРОФИЦИТ БЮДЖЕТА</t>
  </si>
  <si>
    <t>максимальный дефицит бюджета</t>
  </si>
  <si>
    <t>отклонения от максимального дефицита</t>
  </si>
  <si>
    <t>ИСТОЧНИКИ ВНУТРЕННЕГО ФИНАНСИРОВАНИЯ ДЕФИЦИТА БЮДЖЕТА</t>
  </si>
  <si>
    <t>01 02 00 00 00 0000 000</t>
  </si>
  <si>
    <t>Кредиты кредитных организаций в валюте Российской Федерации</t>
  </si>
  <si>
    <t>01 02 00 00 10 0000 710</t>
  </si>
  <si>
    <t>Получение кредитов от кредитных организаций бюджетом поселения в валюте Российской Федерации</t>
  </si>
  <si>
    <t>01 02 00 00 10 0000 810</t>
  </si>
  <si>
    <t>Погашение бюджетом поселения кредитов от кредитных организаций в валюте Российской Федерации</t>
  </si>
  <si>
    <t>01 05 00 00 00 0000 000</t>
  </si>
  <si>
    <t>Изменение остатков средств на счетах по учету средств бюджета</t>
  </si>
  <si>
    <t>01 05 02 01 10 0000 510</t>
  </si>
  <si>
    <t>Увеличение прочих остатков денежных средств бюджета поселения</t>
  </si>
  <si>
    <t>01 05 02 01 10 0000 610</t>
  </si>
  <si>
    <t>Уменьшение прочих остатков денежных средств бюджета поселения</t>
  </si>
</sst>
</file>

<file path=xl/styles.xml><?xml version="1.0" encoding="utf-8"?>
<styleSheet xmlns="http://schemas.openxmlformats.org/spreadsheetml/2006/main">
  <numFmts count="4">
    <numFmt numFmtId="164" formatCode="0.0%"/>
    <numFmt numFmtId="165" formatCode="#,##0.0"/>
    <numFmt numFmtId="166" formatCode="##,###,###,###,###,###,###"/>
    <numFmt numFmtId="167" formatCode="0.0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Arial Narrow"/>
      <family val="2"/>
      <charset val="204"/>
    </font>
    <font>
      <sz val="11"/>
      <name val="Arial Narrow"/>
      <family val="2"/>
    </font>
    <font>
      <sz val="11"/>
      <name val="Calibri"/>
      <family val="2"/>
      <charset val="204"/>
      <scheme val="minor"/>
    </font>
    <font>
      <sz val="10"/>
      <name val="Arial Narrow"/>
      <family val="2"/>
    </font>
    <font>
      <sz val="10"/>
      <name val="Arial Narrow"/>
      <family val="2"/>
      <charset val="204"/>
    </font>
    <font>
      <sz val="10"/>
      <name val="Calibri"/>
      <family val="2"/>
      <charset val="204"/>
      <scheme val="minor"/>
    </font>
    <font>
      <b/>
      <sz val="10"/>
      <name val="Arial Narrow"/>
      <family val="2"/>
    </font>
    <font>
      <b/>
      <sz val="11"/>
      <name val="Arial Narrow"/>
      <family val="2"/>
    </font>
    <font>
      <b/>
      <sz val="11"/>
      <name val="Arial Narrow"/>
      <family val="2"/>
      <charset val="204"/>
    </font>
    <font>
      <sz val="1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0"/>
      <name val="Arial Narrow"/>
      <family val="2"/>
      <charset val="204"/>
    </font>
    <font>
      <b/>
      <sz val="1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sz val="10"/>
      <name val="Arial"/>
      <family val="2"/>
      <charset val="204"/>
    </font>
    <font>
      <i/>
      <sz val="11"/>
      <name val="Arial Narrow"/>
      <family val="2"/>
      <charset val="204"/>
    </font>
    <font>
      <sz val="1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8" fillId="0" borderId="0"/>
  </cellStyleXfs>
  <cellXfs count="203">
    <xf numFmtId="0" fontId="0" fillId="0" borderId="0" xfId="0"/>
    <xf numFmtId="0" fontId="3" fillId="0" borderId="0" xfId="2" applyFont="1" applyFill="1" applyAlignment="1">
      <alignment horizontal="center" wrapText="1"/>
    </xf>
    <xf numFmtId="0" fontId="4" fillId="0" borderId="0" xfId="2" applyFont="1" applyFill="1" applyAlignment="1">
      <alignment vertical="center" wrapText="1"/>
    </xf>
    <xf numFmtId="0" fontId="5" fillId="0" borderId="0" xfId="0" applyFont="1" applyFill="1"/>
    <xf numFmtId="0" fontId="6" fillId="0" borderId="0" xfId="2" applyFont="1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164" fontId="5" fillId="0" borderId="0" xfId="0" applyNumberFormat="1" applyFont="1" applyFill="1"/>
    <xf numFmtId="164" fontId="7" fillId="0" borderId="1" xfId="2" applyNumberFormat="1" applyFont="1" applyFill="1" applyBorder="1" applyAlignment="1">
      <alignment horizontal="right" vertical="center"/>
    </xf>
    <xf numFmtId="0" fontId="6" fillId="0" borderId="2" xfId="2" applyFont="1" applyFill="1" applyBorder="1" applyAlignment="1">
      <alignment horizontal="center" vertical="center" wrapText="1"/>
    </xf>
    <xf numFmtId="164" fontId="6" fillId="2" borderId="2" xfId="2" applyNumberFormat="1" applyFont="1" applyFill="1" applyBorder="1" applyAlignment="1">
      <alignment horizontal="center" vertical="center" wrapText="1"/>
    </xf>
    <xf numFmtId="164" fontId="6" fillId="0" borderId="2" xfId="2" applyNumberFormat="1" applyFont="1" applyFill="1" applyBorder="1" applyAlignment="1">
      <alignment horizontal="center" vertical="center" wrapText="1"/>
    </xf>
    <xf numFmtId="165" fontId="6" fillId="2" borderId="2" xfId="2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6" fillId="0" borderId="2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166" fontId="9" fillId="2" borderId="2" xfId="2" applyNumberFormat="1" applyFont="1" applyFill="1" applyBorder="1" applyAlignment="1" applyProtection="1">
      <alignment horizontal="center" vertical="center"/>
    </xf>
    <xf numFmtId="0" fontId="10" fillId="2" borderId="2" xfId="2" applyFont="1" applyFill="1" applyBorder="1" applyAlignment="1" applyProtection="1">
      <alignment horizontal="justify" vertical="center" wrapText="1"/>
    </xf>
    <xf numFmtId="165" fontId="10" fillId="2" borderId="2" xfId="2" applyNumberFormat="1" applyFont="1" applyFill="1" applyBorder="1" applyAlignment="1" applyProtection="1">
      <alignment vertical="center"/>
    </xf>
    <xf numFmtId="165" fontId="10" fillId="0" borderId="2" xfId="2" applyNumberFormat="1" applyFont="1" applyFill="1" applyBorder="1" applyAlignment="1" applyProtection="1">
      <alignment vertical="center"/>
    </xf>
    <xf numFmtId="164" fontId="10" fillId="2" borderId="2" xfId="2" applyNumberFormat="1" applyFont="1" applyFill="1" applyBorder="1" applyAlignment="1" applyProtection="1">
      <alignment horizontal="right" vertical="center"/>
    </xf>
    <xf numFmtId="164" fontId="10" fillId="0" borderId="2" xfId="2" applyNumberFormat="1" applyFont="1" applyFill="1" applyBorder="1" applyAlignment="1" applyProtection="1">
      <alignment horizontal="right" vertical="center"/>
    </xf>
    <xf numFmtId="165" fontId="11" fillId="2" borderId="2" xfId="2" applyNumberFormat="1" applyFont="1" applyFill="1" applyBorder="1" applyAlignment="1">
      <alignment horizontal="right" vertical="center" wrapText="1"/>
    </xf>
    <xf numFmtId="164" fontId="11" fillId="2" borderId="2" xfId="1" applyNumberFormat="1" applyFont="1" applyFill="1" applyBorder="1" applyAlignment="1">
      <alignment horizontal="right" vertical="center" wrapText="1"/>
    </xf>
    <xf numFmtId="0" fontId="9" fillId="2" borderId="2" xfId="2" applyFont="1" applyFill="1" applyBorder="1" applyAlignment="1" applyProtection="1">
      <alignment horizontal="center" vertical="center"/>
    </xf>
    <xf numFmtId="165" fontId="10" fillId="2" borderId="2" xfId="2" applyNumberFormat="1" applyFont="1" applyFill="1" applyBorder="1" applyAlignment="1" applyProtection="1">
      <alignment horizontal="right" vertical="center"/>
    </xf>
    <xf numFmtId="165" fontId="10" fillId="0" borderId="2" xfId="2" applyNumberFormat="1" applyFont="1" applyFill="1" applyBorder="1" applyAlignment="1" applyProtection="1">
      <alignment horizontal="right" vertical="center"/>
    </xf>
    <xf numFmtId="0" fontId="6" fillId="0" borderId="2" xfId="2" applyFont="1" applyFill="1" applyBorder="1" applyAlignment="1" applyProtection="1">
      <alignment horizontal="center" vertical="center"/>
    </xf>
    <xf numFmtId="0" fontId="4" fillId="2" borderId="2" xfId="2" applyFont="1" applyFill="1" applyBorder="1" applyAlignment="1" applyProtection="1">
      <alignment horizontal="justify" vertical="center" wrapText="1"/>
    </xf>
    <xf numFmtId="165" fontId="4" fillId="2" borderId="2" xfId="2" applyNumberFormat="1" applyFont="1" applyFill="1" applyBorder="1" applyAlignment="1" applyProtection="1">
      <alignment vertical="center"/>
    </xf>
    <xf numFmtId="165" fontId="4" fillId="2" borderId="2" xfId="2" applyNumberFormat="1" applyFont="1" applyFill="1" applyBorder="1" applyAlignment="1">
      <alignment horizontal="right" vertical="center" wrapText="1"/>
    </xf>
    <xf numFmtId="165" fontId="4" fillId="0" borderId="2" xfId="2" applyNumberFormat="1" applyFont="1" applyFill="1" applyBorder="1" applyAlignment="1">
      <alignment horizontal="right" vertical="center" wrapText="1"/>
    </xf>
    <xf numFmtId="164" fontId="4" fillId="2" borderId="2" xfId="2" applyNumberFormat="1" applyFont="1" applyFill="1" applyBorder="1" applyAlignment="1" applyProtection="1">
      <alignment horizontal="right" vertical="center"/>
    </xf>
    <xf numFmtId="164" fontId="4" fillId="0" borderId="2" xfId="2" applyNumberFormat="1" applyFont="1" applyFill="1" applyBorder="1" applyAlignment="1" applyProtection="1">
      <alignment horizontal="right" vertical="center"/>
    </xf>
    <xf numFmtId="0" fontId="9" fillId="0" borderId="2" xfId="2" applyFont="1" applyFill="1" applyBorder="1" applyAlignment="1" applyProtection="1">
      <alignment horizontal="center" vertical="center"/>
    </xf>
    <xf numFmtId="0" fontId="10" fillId="0" borderId="2" xfId="2" applyFont="1" applyFill="1" applyBorder="1" applyAlignment="1" applyProtection="1">
      <alignment horizontal="justify" vertical="center" wrapText="1"/>
    </xf>
    <xf numFmtId="164" fontId="11" fillId="0" borderId="2" xfId="2" applyNumberFormat="1" applyFont="1" applyFill="1" applyBorder="1" applyAlignment="1" applyProtection="1">
      <alignment horizontal="right" vertical="center"/>
    </xf>
    <xf numFmtId="0" fontId="12" fillId="0" borderId="2" xfId="0" applyFont="1" applyFill="1" applyBorder="1" applyAlignment="1">
      <alignment horizontal="justify" vertical="center" wrapText="1"/>
    </xf>
    <xf numFmtId="165" fontId="4" fillId="0" borderId="2" xfId="2" applyNumberFormat="1" applyFont="1" applyFill="1" applyBorder="1" applyAlignment="1" applyProtection="1">
      <alignment vertical="center"/>
    </xf>
    <xf numFmtId="0" fontId="6" fillId="0" borderId="2" xfId="2" applyFont="1" applyFill="1" applyBorder="1" applyAlignment="1" applyProtection="1">
      <alignment horizontal="center" vertical="center" wrapText="1"/>
    </xf>
    <xf numFmtId="0" fontId="4" fillId="0" borderId="2" xfId="2" applyFont="1" applyFill="1" applyBorder="1" applyAlignment="1" applyProtection="1">
      <alignment horizontal="justify" vertical="center" wrapText="1"/>
    </xf>
    <xf numFmtId="0" fontId="4" fillId="0" borderId="2" xfId="2" applyFont="1" applyFill="1" applyBorder="1" applyAlignment="1">
      <alignment horizontal="justify" vertical="center" wrapText="1"/>
    </xf>
    <xf numFmtId="165" fontId="4" fillId="0" borderId="2" xfId="2" applyNumberFormat="1" applyFont="1" applyFill="1" applyBorder="1" applyAlignment="1">
      <alignment vertical="center"/>
    </xf>
    <xf numFmtId="0" fontId="6" fillId="0" borderId="3" xfId="2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>
      <alignment horizontal="justify" vertical="center" wrapText="1"/>
    </xf>
    <xf numFmtId="49" fontId="13" fillId="3" borderId="2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vertical="center" wrapText="1"/>
    </xf>
    <xf numFmtId="165" fontId="11" fillId="0" borderId="4" xfId="2" applyNumberFormat="1" applyFont="1" applyFill="1" applyBorder="1" applyAlignment="1">
      <alignment vertical="center"/>
    </xf>
    <xf numFmtId="165" fontId="11" fillId="0" borderId="2" xfId="2" applyNumberFormat="1" applyFont="1" applyFill="1" applyBorder="1" applyAlignment="1">
      <alignment vertical="center"/>
    </xf>
    <xf numFmtId="165" fontId="11" fillId="0" borderId="2" xfId="2" applyNumberFormat="1" applyFont="1" applyFill="1" applyBorder="1" applyAlignment="1">
      <alignment horizontal="right" vertical="center" wrapText="1"/>
    </xf>
    <xf numFmtId="0" fontId="9" fillId="2" borderId="5" xfId="2" applyFont="1" applyFill="1" applyBorder="1" applyAlignment="1" applyProtection="1">
      <alignment horizontal="center" vertical="center" wrapText="1"/>
    </xf>
    <xf numFmtId="0" fontId="10" fillId="2" borderId="5" xfId="2" applyFont="1" applyFill="1" applyBorder="1" applyAlignment="1">
      <alignment horizontal="justify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12" fillId="0" borderId="2" xfId="2" applyFont="1" applyFill="1" applyBorder="1" applyAlignment="1">
      <alignment horizontal="justify" vertical="center" wrapText="1"/>
    </xf>
    <xf numFmtId="0" fontId="12" fillId="0" borderId="2" xfId="0" applyFont="1" applyFill="1" applyBorder="1" applyAlignment="1">
      <alignment horizontal="right" vertical="center"/>
    </xf>
    <xf numFmtId="165" fontId="12" fillId="0" borderId="2" xfId="2" applyNumberFormat="1" applyFont="1" applyFill="1" applyBorder="1" applyAlignment="1">
      <alignment horizontal="right" vertical="center"/>
    </xf>
    <xf numFmtId="165" fontId="12" fillId="0" borderId="2" xfId="2" applyNumberFormat="1" applyFont="1" applyFill="1" applyBorder="1" applyAlignment="1">
      <alignment horizontal="right"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justify" vertical="center" wrapText="1"/>
    </xf>
    <xf numFmtId="165" fontId="10" fillId="2" borderId="2" xfId="2" applyNumberFormat="1" applyFont="1" applyFill="1" applyBorder="1" applyAlignment="1">
      <alignment vertical="center"/>
    </xf>
    <xf numFmtId="165" fontId="10" fillId="0" borderId="2" xfId="2" applyNumberFormat="1" applyFont="1" applyFill="1" applyBorder="1" applyAlignment="1">
      <alignment vertical="center"/>
    </xf>
    <xf numFmtId="165" fontId="10" fillId="0" borderId="2" xfId="2" applyNumberFormat="1" applyFont="1" applyFill="1" applyBorder="1" applyAlignment="1">
      <alignment horizontal="right" vertical="center" wrapText="1"/>
    </xf>
    <xf numFmtId="0" fontId="16" fillId="0" borderId="0" xfId="0" applyFont="1" applyFill="1"/>
    <xf numFmtId="0" fontId="15" fillId="2" borderId="2" xfId="2" applyFont="1" applyFill="1" applyBorder="1" applyAlignment="1" applyProtection="1">
      <alignment horizontal="center" vertical="center" wrapText="1"/>
    </xf>
    <xf numFmtId="0" fontId="10" fillId="2" borderId="2" xfId="2" applyFont="1" applyFill="1" applyBorder="1" applyAlignment="1" applyProtection="1">
      <alignment horizontal="justify" vertical="center" wrapText="1"/>
      <protection locked="0"/>
    </xf>
    <xf numFmtId="165" fontId="10" fillId="2" borderId="2" xfId="2" applyNumberFormat="1" applyFont="1" applyFill="1" applyBorder="1" applyAlignment="1">
      <alignment horizontal="right" vertical="center"/>
    </xf>
    <xf numFmtId="165" fontId="10" fillId="0" borderId="2" xfId="2" applyNumberFormat="1" applyFont="1" applyFill="1" applyBorder="1" applyAlignment="1">
      <alignment horizontal="right" vertical="center"/>
    </xf>
    <xf numFmtId="0" fontId="7" fillId="0" borderId="2" xfId="2" applyFont="1" applyFill="1" applyBorder="1" applyAlignment="1" applyProtection="1">
      <alignment horizontal="center" vertical="center" wrapText="1"/>
    </xf>
    <xf numFmtId="0" fontId="17" fillId="0" borderId="0" xfId="0" applyFont="1" applyAlignment="1">
      <alignment wrapText="1"/>
    </xf>
    <xf numFmtId="165" fontId="4" fillId="0" borderId="2" xfId="2" applyNumberFormat="1" applyFont="1" applyFill="1" applyBorder="1" applyAlignment="1">
      <alignment horizontal="right" vertical="center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12" fillId="0" borderId="2" xfId="3" applyNumberFormat="1" applyFont="1" applyFill="1" applyBorder="1" applyAlignment="1" applyProtection="1">
      <alignment horizontal="left" wrapText="1"/>
      <protection hidden="1"/>
    </xf>
    <xf numFmtId="0" fontId="15" fillId="0" borderId="2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justify" vertical="center" wrapText="1"/>
      <protection locked="0"/>
    </xf>
    <xf numFmtId="165" fontId="10" fillId="0" borderId="2" xfId="0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 applyProtection="1">
      <alignment horizontal="center" vertical="center" wrapText="1"/>
    </xf>
    <xf numFmtId="49" fontId="12" fillId="0" borderId="2" xfId="0" applyNumberFormat="1" applyFont="1" applyFill="1" applyBorder="1" applyAlignment="1" applyProtection="1">
      <alignment horizontal="justify" vertical="center" wrapText="1"/>
      <protection locked="0"/>
    </xf>
    <xf numFmtId="165" fontId="4" fillId="0" borderId="2" xfId="0" applyNumberFormat="1" applyFont="1" applyFill="1" applyBorder="1" applyAlignment="1">
      <alignment horizontal="right" vertical="center"/>
    </xf>
    <xf numFmtId="49" fontId="11" fillId="0" borderId="2" xfId="0" applyNumberFormat="1" applyFont="1" applyFill="1" applyBorder="1" applyAlignment="1" applyProtection="1">
      <alignment horizontal="justify" vertical="center" wrapText="1"/>
      <protection locked="0"/>
    </xf>
    <xf numFmtId="0" fontId="7" fillId="0" borderId="2" xfId="0" applyFont="1" applyFill="1" applyBorder="1" applyAlignment="1" applyProtection="1">
      <alignment horizontal="center" vertical="center"/>
    </xf>
    <xf numFmtId="0" fontId="12" fillId="0" borderId="2" xfId="0" applyNumberFormat="1" applyFont="1" applyFill="1" applyBorder="1" applyAlignment="1" applyProtection="1">
      <alignment horizontal="justify" vertical="top" wrapText="1"/>
    </xf>
    <xf numFmtId="165" fontId="4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" xfId="0" applyNumberFormat="1" applyFont="1" applyFill="1" applyBorder="1" applyAlignment="1" applyProtection="1">
      <alignment vertical="center"/>
    </xf>
    <xf numFmtId="165" fontId="4" fillId="0" borderId="2" xfId="0" applyNumberFormat="1" applyFont="1" applyFill="1" applyBorder="1" applyAlignment="1" applyProtection="1">
      <alignment horizontal="right" vertical="center"/>
    </xf>
    <xf numFmtId="0" fontId="15" fillId="2" borderId="2" xfId="0" applyFont="1" applyFill="1" applyBorder="1" applyAlignment="1" applyProtection="1">
      <alignment horizontal="center" vertical="center"/>
    </xf>
    <xf numFmtId="0" fontId="11" fillId="2" borderId="2" xfId="0" applyNumberFormat="1" applyFont="1" applyFill="1" applyBorder="1" applyAlignment="1" applyProtection="1">
      <alignment horizontal="justify" vertical="top" wrapText="1"/>
    </xf>
    <xf numFmtId="165" fontId="10" fillId="2" borderId="2" xfId="0" applyNumberFormat="1" applyFont="1" applyFill="1" applyBorder="1" applyAlignment="1" applyProtection="1">
      <alignment horizontal="right" vertical="center" wrapText="1"/>
      <protection locked="0"/>
    </xf>
    <xf numFmtId="165" fontId="10" fillId="0" borderId="2" xfId="0" applyNumberFormat="1" applyFont="1" applyFill="1" applyBorder="1" applyAlignment="1" applyProtection="1">
      <alignment vertical="center"/>
    </xf>
    <xf numFmtId="165" fontId="1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2" xfId="0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justify" vertical="top" wrapText="1"/>
    </xf>
    <xf numFmtId="165" fontId="11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11" fillId="0" borderId="2" xfId="0" applyNumberFormat="1" applyFont="1" applyFill="1" applyBorder="1" applyAlignment="1" applyProtection="1">
      <alignment vertical="center"/>
    </xf>
    <xf numFmtId="165" fontId="11" fillId="0" borderId="2" xfId="0" applyNumberFormat="1" applyFont="1" applyFill="1" applyBorder="1" applyAlignment="1">
      <alignment horizontal="right" vertical="center"/>
    </xf>
    <xf numFmtId="164" fontId="11" fillId="2" borderId="2" xfId="2" applyNumberFormat="1" applyFont="1" applyFill="1" applyBorder="1" applyAlignment="1" applyProtection="1">
      <alignment horizontal="right" vertical="center"/>
    </xf>
    <xf numFmtId="0" fontId="11" fillId="0" borderId="2" xfId="0" applyNumberFormat="1" applyFont="1" applyFill="1" applyBorder="1" applyAlignment="1" applyProtection="1">
      <alignment horizontal="justify" vertical="center" wrapText="1"/>
    </xf>
    <xf numFmtId="165" fontId="11" fillId="0" borderId="2" xfId="0" applyNumberFormat="1" applyFont="1" applyFill="1" applyBorder="1" applyAlignment="1" applyProtection="1">
      <alignment horizontal="right" vertical="center"/>
    </xf>
    <xf numFmtId="0" fontId="9" fillId="2" borderId="2" xfId="2" applyFont="1" applyFill="1" applyBorder="1" applyAlignment="1" applyProtection="1">
      <alignment horizontal="center" vertical="center"/>
      <protection locked="0"/>
    </xf>
    <xf numFmtId="49" fontId="10" fillId="2" borderId="2" xfId="2" applyNumberFormat="1" applyFont="1" applyFill="1" applyBorder="1" applyAlignment="1">
      <alignment horizontal="justify" vertical="center" wrapText="1"/>
    </xf>
    <xf numFmtId="165" fontId="10" fillId="2" borderId="2" xfId="2" applyNumberFormat="1" applyFont="1" applyFill="1" applyBorder="1" applyAlignment="1">
      <alignment horizontal="right" vertical="center" wrapText="1"/>
    </xf>
    <xf numFmtId="0" fontId="9" fillId="0" borderId="2" xfId="2" applyFont="1" applyFill="1" applyBorder="1" applyAlignment="1" applyProtection="1">
      <alignment horizontal="center" vertical="center"/>
      <protection locked="0"/>
    </xf>
    <xf numFmtId="49" fontId="10" fillId="0" borderId="2" xfId="2" applyNumberFormat="1" applyFont="1" applyFill="1" applyBorder="1" applyAlignment="1">
      <alignment horizontal="justify" vertical="center" wrapText="1"/>
    </xf>
    <xf numFmtId="165" fontId="10" fillId="0" borderId="2" xfId="2" applyNumberFormat="1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164" fontId="10" fillId="2" borderId="2" xfId="2" applyNumberFormat="1" applyFont="1" applyFill="1" applyBorder="1" applyAlignment="1">
      <alignment horizontal="right" vertical="center" wrapText="1"/>
    </xf>
    <xf numFmtId="164" fontId="10" fillId="0" borderId="2" xfId="2" applyNumberFormat="1" applyFont="1" applyFill="1" applyBorder="1" applyAlignment="1">
      <alignment horizontal="right" vertical="center" wrapText="1"/>
    </xf>
    <xf numFmtId="49" fontId="9" fillId="2" borderId="2" xfId="2" applyNumberFormat="1" applyFont="1" applyFill="1" applyBorder="1" applyAlignment="1">
      <alignment horizontal="center" vertical="center"/>
    </xf>
    <xf numFmtId="0" fontId="10" fillId="2" borderId="2" xfId="2" applyFont="1" applyFill="1" applyBorder="1" applyAlignment="1">
      <alignment horizontal="justify" vertical="center"/>
    </xf>
    <xf numFmtId="164" fontId="10" fillId="2" borderId="2" xfId="1" applyNumberFormat="1" applyFont="1" applyFill="1" applyBorder="1" applyAlignment="1" applyProtection="1">
      <alignment horizontal="right" vertical="center"/>
    </xf>
    <xf numFmtId="49" fontId="9" fillId="2" borderId="2" xfId="2" applyNumberFormat="1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justify" vertical="center" wrapText="1"/>
    </xf>
    <xf numFmtId="49" fontId="6" fillId="2" borderId="2" xfId="2" applyNumberFormat="1" applyFont="1" applyFill="1" applyBorder="1" applyAlignment="1">
      <alignment horizontal="center" vertical="center" wrapText="1"/>
    </xf>
    <xf numFmtId="49" fontId="4" fillId="2" borderId="2" xfId="2" applyNumberFormat="1" applyFont="1" applyFill="1" applyBorder="1" applyAlignment="1">
      <alignment horizontal="justify" vertical="center" wrapText="1"/>
    </xf>
    <xf numFmtId="49" fontId="9" fillId="0" borderId="2" xfId="2" applyNumberFormat="1" applyFont="1" applyFill="1" applyBorder="1" applyAlignment="1">
      <alignment horizontal="center" vertical="center" wrapText="1"/>
    </xf>
    <xf numFmtId="0" fontId="10" fillId="0" borderId="2" xfId="2" applyNumberFormat="1" applyFont="1" applyFill="1" applyBorder="1" applyAlignment="1">
      <alignment horizontal="justify" vertical="center" wrapText="1"/>
    </xf>
    <xf numFmtId="49" fontId="6" fillId="0" borderId="2" xfId="2" applyNumberFormat="1" applyFont="1" applyFill="1" applyBorder="1" applyAlignment="1">
      <alignment horizontal="center" vertical="center" wrapText="1"/>
    </xf>
    <xf numFmtId="49" fontId="4" fillId="0" borderId="2" xfId="2" applyNumberFormat="1" applyFont="1" applyFill="1" applyBorder="1" applyAlignment="1">
      <alignment horizontal="justify" vertical="center" wrapText="1"/>
    </xf>
    <xf numFmtId="0" fontId="10" fillId="0" borderId="2" xfId="2" applyFont="1" applyFill="1" applyBorder="1" applyAlignment="1">
      <alignment horizontal="justify" vertical="center" wrapText="1"/>
    </xf>
    <xf numFmtId="0" fontId="10" fillId="2" borderId="2" xfId="2" applyNumberFormat="1" applyFont="1" applyFill="1" applyBorder="1" applyAlignment="1">
      <alignment horizontal="justify" vertical="center" wrapText="1"/>
    </xf>
    <xf numFmtId="49" fontId="11" fillId="0" borderId="2" xfId="2" applyNumberFormat="1" applyFont="1" applyFill="1" applyBorder="1" applyAlignment="1">
      <alignment horizontal="justify" vertical="center" wrapText="1"/>
    </xf>
    <xf numFmtId="0" fontId="9" fillId="2" borderId="2" xfId="2" applyFont="1" applyFill="1" applyBorder="1" applyAlignment="1">
      <alignment horizontal="center" vertical="center" wrapText="1"/>
    </xf>
    <xf numFmtId="165" fontId="10" fillId="3" borderId="2" xfId="2" applyNumberFormat="1" applyFont="1" applyFill="1" applyBorder="1" applyAlignment="1">
      <alignment horizontal="right" vertical="center" wrapText="1"/>
    </xf>
    <xf numFmtId="0" fontId="4" fillId="0" borderId="2" xfId="2" applyFont="1" applyFill="1" applyBorder="1" applyAlignment="1">
      <alignment horizontal="left" vertical="center" wrapText="1"/>
    </xf>
    <xf numFmtId="165" fontId="4" fillId="3" borderId="2" xfId="2" applyNumberFormat="1" applyFont="1" applyFill="1" applyBorder="1" applyAlignment="1">
      <alignment horizontal="right" vertical="center" wrapText="1"/>
    </xf>
    <xf numFmtId="0" fontId="12" fillId="0" borderId="2" xfId="2" applyFont="1" applyFill="1" applyBorder="1" applyAlignment="1">
      <alignment horizontal="left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5" fillId="0" borderId="2" xfId="0" applyFont="1" applyFill="1" applyBorder="1"/>
    <xf numFmtId="0" fontId="4" fillId="3" borderId="2" xfId="2" applyFont="1" applyFill="1" applyBorder="1" applyAlignment="1">
      <alignment horizontal="justify" vertical="center" wrapText="1"/>
    </xf>
    <xf numFmtId="0" fontId="4" fillId="0" borderId="2" xfId="2" applyNumberFormat="1" applyFont="1" applyFill="1" applyBorder="1" applyAlignment="1">
      <alignment horizontal="justify" vertical="center" wrapText="1"/>
    </xf>
    <xf numFmtId="167" fontId="12" fillId="0" borderId="2" xfId="2" applyNumberFormat="1" applyFont="1" applyFill="1" applyBorder="1" applyAlignment="1">
      <alignment vertical="center"/>
    </xf>
    <xf numFmtId="165" fontId="11" fillId="3" borderId="2" xfId="2" applyNumberFormat="1" applyFont="1" applyFill="1" applyBorder="1" applyAlignment="1">
      <alignment horizontal="right" vertical="center" wrapText="1"/>
    </xf>
    <xf numFmtId="164" fontId="12" fillId="0" borderId="2" xfId="2" applyNumberFormat="1" applyFont="1" applyFill="1" applyBorder="1" applyAlignment="1" applyProtection="1">
      <alignment horizontal="right" vertical="center"/>
    </xf>
    <xf numFmtId="0" fontId="12" fillId="0" borderId="2" xfId="2" applyNumberFormat="1" applyFont="1" applyFill="1" applyBorder="1" applyAlignment="1">
      <alignment horizontal="justify" vertical="center" wrapText="1"/>
    </xf>
    <xf numFmtId="49" fontId="7" fillId="0" borderId="2" xfId="2" applyNumberFormat="1" applyFont="1" applyFill="1" applyBorder="1" applyAlignment="1">
      <alignment horizontal="center" vertical="center" wrapText="1"/>
    </xf>
    <xf numFmtId="49" fontId="15" fillId="0" borderId="2" xfId="2" applyNumberFormat="1" applyFont="1" applyFill="1" applyBorder="1" applyAlignment="1">
      <alignment horizontal="center" vertical="center" wrapText="1"/>
    </xf>
    <xf numFmtId="0" fontId="11" fillId="2" borderId="2" xfId="2" applyNumberFormat="1" applyFont="1" applyFill="1" applyBorder="1" applyAlignment="1">
      <alignment horizontal="justify" vertical="center" wrapText="1"/>
    </xf>
    <xf numFmtId="49" fontId="12" fillId="0" borderId="2" xfId="2" applyNumberFormat="1" applyFont="1" applyFill="1" applyBorder="1" applyAlignment="1">
      <alignment horizontal="justify" vertical="center" wrapText="1"/>
    </xf>
    <xf numFmtId="165" fontId="4" fillId="0" borderId="2" xfId="2" applyNumberFormat="1" applyFont="1" applyFill="1" applyBorder="1" applyAlignment="1" applyProtection="1">
      <alignment horizontal="right" vertical="center" wrapText="1"/>
    </xf>
    <xf numFmtId="165" fontId="4" fillId="0" borderId="2" xfId="2" applyNumberFormat="1" applyFont="1" applyFill="1" applyBorder="1" applyAlignment="1" applyProtection="1">
      <alignment horizontal="right" vertical="center" wrapText="1"/>
      <protection locked="0"/>
    </xf>
    <xf numFmtId="49" fontId="19" fillId="0" borderId="2" xfId="2" applyNumberFormat="1" applyFont="1" applyFill="1" applyBorder="1" applyAlignment="1">
      <alignment horizontal="justify" vertical="center" wrapText="1"/>
    </xf>
    <xf numFmtId="49" fontId="6" fillId="4" borderId="2" xfId="2" applyNumberFormat="1" applyFont="1" applyFill="1" applyBorder="1" applyAlignment="1">
      <alignment horizontal="center" vertical="center" wrapText="1"/>
    </xf>
    <xf numFmtId="49" fontId="4" fillId="4" borderId="2" xfId="2" applyNumberFormat="1" applyFont="1" applyFill="1" applyBorder="1" applyAlignment="1">
      <alignment horizontal="justify" vertical="center" wrapText="1"/>
    </xf>
    <xf numFmtId="165" fontId="12" fillId="4" borderId="2" xfId="2" applyNumberFormat="1" applyFont="1" applyFill="1" applyBorder="1" applyAlignment="1">
      <alignment horizontal="right" vertical="center" wrapText="1"/>
    </xf>
    <xf numFmtId="164" fontId="4" fillId="4" borderId="2" xfId="2" applyNumberFormat="1" applyFont="1" applyFill="1" applyBorder="1" applyAlignment="1" applyProtection="1">
      <alignment horizontal="right" vertical="center"/>
    </xf>
    <xf numFmtId="0" fontId="5" fillId="4" borderId="0" xfId="0" applyFont="1" applyFill="1"/>
    <xf numFmtId="0" fontId="15" fillId="0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justify" vertical="center" wrapText="1"/>
    </xf>
    <xf numFmtId="164" fontId="11" fillId="2" borderId="2" xfId="1" applyNumberFormat="1" applyFont="1" applyFill="1" applyBorder="1" applyAlignment="1" applyProtection="1">
      <alignment horizontal="right" vertical="center"/>
    </xf>
    <xf numFmtId="165" fontId="11" fillId="2" borderId="2" xfId="2" applyNumberFormat="1" applyFont="1" applyFill="1" applyBorder="1" applyAlignment="1" applyProtection="1">
      <alignment vertical="center"/>
    </xf>
    <xf numFmtId="165" fontId="10" fillId="0" borderId="2" xfId="2" applyNumberFormat="1" applyFont="1" applyFill="1" applyBorder="1" applyAlignment="1" applyProtection="1">
      <alignment horizontal="right" vertical="center" wrapText="1"/>
    </xf>
    <xf numFmtId="49" fontId="15" fillId="2" borderId="2" xfId="2" applyNumberFormat="1" applyFont="1" applyFill="1" applyBorder="1" applyAlignment="1">
      <alignment horizontal="center" vertical="center" wrapText="1"/>
    </xf>
    <xf numFmtId="0" fontId="12" fillId="3" borderId="2" xfId="2" applyFont="1" applyFill="1" applyBorder="1" applyAlignment="1">
      <alignment horizontal="justify" vertical="center" wrapText="1"/>
    </xf>
    <xf numFmtId="0" fontId="7" fillId="0" borderId="2" xfId="2" quotePrefix="1" applyFont="1" applyFill="1" applyBorder="1" applyAlignment="1">
      <alignment horizontal="center" vertical="center" wrapText="1"/>
    </xf>
    <xf numFmtId="0" fontId="15" fillId="0" borderId="2" xfId="2" quotePrefix="1" applyFont="1" applyFill="1" applyBorder="1" applyAlignment="1">
      <alignment horizontal="center" vertical="center" wrapText="1"/>
    </xf>
    <xf numFmtId="0" fontId="11" fillId="0" borderId="2" xfId="2" applyNumberFormat="1" applyFont="1" applyFill="1" applyBorder="1" applyAlignment="1">
      <alignment horizontal="justify" vertical="center" wrapText="1"/>
    </xf>
    <xf numFmtId="165" fontId="12" fillId="3" borderId="2" xfId="2" applyNumberFormat="1" applyFont="1" applyFill="1" applyBorder="1" applyAlignment="1">
      <alignment horizontal="right" vertical="center" wrapText="1"/>
    </xf>
    <xf numFmtId="164" fontId="4" fillId="3" borderId="2" xfId="2" applyNumberFormat="1" applyFont="1" applyFill="1" applyBorder="1" applyAlignment="1" applyProtection="1">
      <alignment horizontal="right" vertical="center"/>
    </xf>
    <xf numFmtId="165" fontId="12" fillId="0" borderId="2" xfId="2" applyNumberFormat="1" applyFont="1" applyFill="1" applyBorder="1" applyAlignment="1" applyProtection="1">
      <alignment horizontal="right" vertical="center" wrapText="1"/>
    </xf>
    <xf numFmtId="165" fontId="12" fillId="0" borderId="2" xfId="2" applyNumberFormat="1" applyFont="1" applyFill="1" applyBorder="1" applyAlignment="1" applyProtection="1">
      <alignment horizontal="right" vertical="center" wrapText="1"/>
      <protection locked="0"/>
    </xf>
    <xf numFmtId="164" fontId="12" fillId="2" borderId="2" xfId="1" applyNumberFormat="1" applyFont="1" applyFill="1" applyBorder="1" applyAlignment="1">
      <alignment horizontal="right" vertical="center" wrapText="1"/>
    </xf>
    <xf numFmtId="0" fontId="4" fillId="0" borderId="2" xfId="2" applyFont="1" applyFill="1" applyBorder="1" applyAlignment="1">
      <alignment horizontal="justify" vertical="center"/>
    </xf>
    <xf numFmtId="164" fontId="10" fillId="3" borderId="2" xfId="2" applyNumberFormat="1" applyFont="1" applyFill="1" applyBorder="1" applyAlignment="1" applyProtection="1">
      <alignment horizontal="right" vertical="center"/>
    </xf>
    <xf numFmtId="0" fontId="5" fillId="3" borderId="0" xfId="0" applyFont="1" applyFill="1"/>
    <xf numFmtId="164" fontId="4" fillId="2" borderId="2" xfId="1" applyNumberFormat="1" applyFont="1" applyFill="1" applyBorder="1" applyAlignment="1" applyProtection="1">
      <alignment horizontal="right" vertical="center"/>
    </xf>
    <xf numFmtId="165" fontId="12" fillId="2" borderId="2" xfId="2" applyNumberFormat="1" applyFont="1" applyFill="1" applyBorder="1" applyAlignment="1">
      <alignment horizontal="right" vertical="center" wrapText="1"/>
    </xf>
    <xf numFmtId="0" fontId="16" fillId="3" borderId="0" xfId="0" applyFont="1" applyFill="1"/>
    <xf numFmtId="0" fontId="5" fillId="3" borderId="2" xfId="0" applyFont="1" applyFill="1" applyBorder="1"/>
    <xf numFmtId="0" fontId="6" fillId="3" borderId="2" xfId="2" applyFont="1" applyFill="1" applyBorder="1" applyAlignment="1">
      <alignment horizontal="center" vertical="center" wrapText="1"/>
    </xf>
    <xf numFmtId="165" fontId="10" fillId="3" borderId="2" xfId="2" applyNumberFormat="1" applyFont="1" applyFill="1" applyBorder="1" applyAlignment="1">
      <alignment vertical="center"/>
    </xf>
    <xf numFmtId="49" fontId="6" fillId="3" borderId="2" xfId="2" applyNumberFormat="1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justify" vertical="center"/>
    </xf>
    <xf numFmtId="49" fontId="12" fillId="3" borderId="2" xfId="2" applyNumberFormat="1" applyFont="1" applyFill="1" applyBorder="1" applyAlignment="1">
      <alignment horizontal="justify" vertical="center" wrapText="1"/>
    </xf>
    <xf numFmtId="49" fontId="9" fillId="3" borderId="2" xfId="2" applyNumberFormat="1" applyFont="1" applyFill="1" applyBorder="1" applyAlignment="1">
      <alignment horizontal="center" vertical="center" wrapText="1"/>
    </xf>
    <xf numFmtId="0" fontId="11" fillId="3" borderId="2" xfId="2" applyFont="1" applyFill="1" applyBorder="1" applyAlignment="1">
      <alignment horizontal="justify" vertical="center" wrapText="1"/>
    </xf>
    <xf numFmtId="0" fontId="9" fillId="3" borderId="2" xfId="2" applyFont="1" applyFill="1" applyBorder="1" applyAlignment="1">
      <alignment horizontal="center" vertical="center" wrapText="1"/>
    </xf>
    <xf numFmtId="0" fontId="10" fillId="3" borderId="2" xfId="2" applyFont="1" applyFill="1" applyBorder="1" applyAlignment="1">
      <alignment horizontal="justify" vertical="center" wrapText="1"/>
    </xf>
    <xf numFmtId="0" fontId="6" fillId="3" borderId="2" xfId="2" applyFont="1" applyFill="1" applyBorder="1" applyAlignment="1">
      <alignment horizontal="center" vertical="center"/>
    </xf>
    <xf numFmtId="165" fontId="4" fillId="0" borderId="2" xfId="2" applyNumberFormat="1" applyFont="1" applyFill="1" applyBorder="1" applyAlignment="1">
      <alignment horizontal="justify" vertical="center" wrapText="1"/>
    </xf>
    <xf numFmtId="9" fontId="10" fillId="2" borderId="2" xfId="1" applyFont="1" applyFill="1" applyBorder="1" applyAlignment="1" applyProtection="1">
      <alignment horizontal="right" vertical="center"/>
    </xf>
    <xf numFmtId="0" fontId="2" fillId="0" borderId="2" xfId="2" applyFont="1" applyFill="1" applyBorder="1"/>
    <xf numFmtId="0" fontId="20" fillId="0" borderId="2" xfId="2" applyFont="1" applyFill="1" applyBorder="1"/>
    <xf numFmtId="165" fontId="4" fillId="0" borderId="2" xfId="2" applyNumberFormat="1" applyFont="1" applyFill="1" applyBorder="1" applyAlignment="1">
      <alignment horizontal="justify" vertical="center"/>
    </xf>
    <xf numFmtId="164" fontId="10" fillId="2" borderId="2" xfId="1" applyNumberFormat="1" applyFont="1" applyFill="1" applyBorder="1" applyAlignment="1">
      <alignment horizontal="right" vertical="center"/>
    </xf>
    <xf numFmtId="0" fontId="2" fillId="2" borderId="2" xfId="2" applyFont="1" applyFill="1" applyBorder="1"/>
    <xf numFmtId="0" fontId="12" fillId="2" borderId="2" xfId="2" applyFont="1" applyFill="1" applyBorder="1"/>
    <xf numFmtId="165" fontId="4" fillId="2" borderId="2" xfId="2" applyNumberFormat="1" applyFont="1" applyFill="1" applyBorder="1" applyAlignment="1">
      <alignment vertical="center"/>
    </xf>
    <xf numFmtId="164" fontId="12" fillId="2" borderId="2" xfId="1" applyNumberFormat="1" applyFont="1" applyFill="1" applyBorder="1" applyAlignment="1">
      <alignment horizontal="right" vertical="center"/>
    </xf>
    <xf numFmtId="164" fontId="12" fillId="2" borderId="2" xfId="2" applyNumberFormat="1" applyFont="1" applyFill="1" applyBorder="1" applyAlignment="1" applyProtection="1">
      <alignment horizontal="right" vertical="center"/>
    </xf>
    <xf numFmtId="164" fontId="5" fillId="0" borderId="2" xfId="0" applyNumberFormat="1" applyFont="1" applyFill="1" applyBorder="1"/>
    <xf numFmtId="164" fontId="11" fillId="0" borderId="2" xfId="2" applyNumberFormat="1" applyFont="1" applyFill="1" applyBorder="1" applyAlignment="1">
      <alignment horizontal="right" vertical="center" wrapText="1"/>
    </xf>
    <xf numFmtId="165" fontId="12" fillId="0" borderId="2" xfId="0" applyNumberFormat="1" applyFont="1" applyFill="1" applyBorder="1" applyAlignment="1" applyProtection="1">
      <alignment horizontal="right" vertical="center"/>
      <protection locked="0"/>
    </xf>
    <xf numFmtId="164" fontId="12" fillId="0" borderId="2" xfId="2" applyNumberFormat="1" applyFont="1" applyFill="1" applyBorder="1" applyAlignment="1">
      <alignment horizontal="right" vertical="center" wrapText="1"/>
    </xf>
    <xf numFmtId="165" fontId="12" fillId="0" borderId="2" xfId="0" applyNumberFormat="1" applyFont="1" applyFill="1" applyBorder="1" applyAlignment="1" applyProtection="1">
      <alignment horizontal="right" vertical="center"/>
    </xf>
    <xf numFmtId="165" fontId="12" fillId="0" borderId="2" xfId="0" applyNumberFormat="1" applyFont="1" applyFill="1" applyBorder="1" applyAlignment="1">
      <alignment horizontal="right" vertical="center"/>
    </xf>
    <xf numFmtId="165" fontId="12" fillId="3" borderId="2" xfId="0" applyNumberFormat="1" applyFont="1" applyFill="1" applyBorder="1" applyAlignment="1">
      <alignment horizontal="right" vertical="center"/>
    </xf>
    <xf numFmtId="0" fontId="2" fillId="0" borderId="0" xfId="2" applyFont="1" applyFill="1"/>
    <xf numFmtId="0" fontId="20" fillId="0" borderId="0" xfId="2" applyFont="1" applyFill="1"/>
    <xf numFmtId="165" fontId="4" fillId="0" borderId="0" xfId="2" applyNumberFormat="1" applyFont="1" applyFill="1" applyAlignment="1">
      <alignment vertical="center"/>
    </xf>
    <xf numFmtId="165" fontId="5" fillId="0" borderId="0" xfId="0" applyNumberFormat="1" applyFont="1" applyFill="1"/>
    <xf numFmtId="0" fontId="6" fillId="0" borderId="0" xfId="2" applyFont="1" applyFill="1" applyAlignment="1">
      <alignment horizontal="center" vertical="center"/>
    </xf>
    <xf numFmtId="0" fontId="4" fillId="0" borderId="0" xfId="2" applyFont="1" applyFill="1" applyAlignment="1">
      <alignment horizontal="justify" vertical="center"/>
    </xf>
    <xf numFmtId="0" fontId="4" fillId="0" borderId="0" xfId="2" applyFont="1" applyFill="1" applyAlignment="1">
      <alignment horizontal="left" vertical="center"/>
    </xf>
    <xf numFmtId="165" fontId="4" fillId="0" borderId="0" xfId="2" applyNumberFormat="1" applyFont="1" applyFill="1" applyAlignment="1">
      <alignment horizontal="left" vertical="center"/>
    </xf>
    <xf numFmtId="0" fontId="4" fillId="0" borderId="0" xfId="2" applyFont="1" applyFill="1" applyAlignment="1">
      <alignment vertical="center"/>
    </xf>
  </cellXfs>
  <cellStyles count="4">
    <cellStyle name="Обычный" xfId="0" builtinId="0"/>
    <cellStyle name="Обычный 2" xfId="2"/>
    <cellStyle name="Обычный_tmp" xfId="3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559"/>
  <sheetViews>
    <sheetView tabSelected="1" workbookViewId="0">
      <selection activeCell="W21" sqref="W21"/>
    </sheetView>
  </sheetViews>
  <sheetFormatPr defaultRowHeight="15"/>
  <cols>
    <col min="1" max="1" width="19" style="12" customWidth="1"/>
    <col min="2" max="2" width="47.42578125" style="3" customWidth="1"/>
    <col min="3" max="3" width="10.5703125" style="3" hidden="1" customWidth="1"/>
    <col min="4" max="4" width="9.7109375" style="3" customWidth="1"/>
    <col min="5" max="5" width="10.7109375" style="3" customWidth="1"/>
    <col min="6" max="6" width="10.7109375" style="3" hidden="1" customWidth="1"/>
    <col min="7" max="7" width="10.7109375" style="3" customWidth="1"/>
    <col min="8" max="9" width="10.7109375" style="3" hidden="1" customWidth="1"/>
    <col min="10" max="10" width="10.5703125" style="3" hidden="1" customWidth="1"/>
    <col min="11" max="11" width="10.5703125" style="6" hidden="1" customWidth="1"/>
    <col min="12" max="12" width="11.28515625" style="6" hidden="1" customWidth="1"/>
    <col min="13" max="13" width="11.28515625" style="6" customWidth="1"/>
    <col min="14" max="14" width="10.5703125" style="197" hidden="1" customWidth="1"/>
    <col min="15" max="15" width="11.140625" style="3" hidden="1" customWidth="1"/>
    <col min="16" max="16" width="9.7109375" style="3" hidden="1" customWidth="1"/>
    <col min="17" max="17" width="7.7109375" style="6" hidden="1" customWidth="1"/>
    <col min="18" max="18" width="11.140625" style="3" hidden="1" customWidth="1"/>
    <col min="19" max="19" width="9.7109375" style="3" hidden="1" customWidth="1"/>
    <col min="20" max="20" width="7.7109375" style="6" hidden="1" customWidth="1"/>
    <col min="21" max="256" width="9.140625" style="3"/>
    <col min="257" max="257" width="19" style="3" customWidth="1"/>
    <col min="258" max="258" width="47.42578125" style="3" customWidth="1"/>
    <col min="259" max="259" width="0" style="3" hidden="1" customWidth="1"/>
    <col min="260" max="260" width="9.7109375" style="3" customWidth="1"/>
    <col min="261" max="261" width="10.7109375" style="3" customWidth="1"/>
    <col min="262" max="262" width="0" style="3" hidden="1" customWidth="1"/>
    <col min="263" max="263" width="10.7109375" style="3" customWidth="1"/>
    <col min="264" max="268" width="0" style="3" hidden="1" customWidth="1"/>
    <col min="269" max="269" width="11.28515625" style="3" customWidth="1"/>
    <col min="270" max="276" width="0" style="3" hidden="1" customWidth="1"/>
    <col min="277" max="512" width="9.140625" style="3"/>
    <col min="513" max="513" width="19" style="3" customWidth="1"/>
    <col min="514" max="514" width="47.42578125" style="3" customWidth="1"/>
    <col min="515" max="515" width="0" style="3" hidden="1" customWidth="1"/>
    <col min="516" max="516" width="9.7109375" style="3" customWidth="1"/>
    <col min="517" max="517" width="10.7109375" style="3" customWidth="1"/>
    <col min="518" max="518" width="0" style="3" hidden="1" customWidth="1"/>
    <col min="519" max="519" width="10.7109375" style="3" customWidth="1"/>
    <col min="520" max="524" width="0" style="3" hidden="1" customWidth="1"/>
    <col min="525" max="525" width="11.28515625" style="3" customWidth="1"/>
    <col min="526" max="532" width="0" style="3" hidden="1" customWidth="1"/>
    <col min="533" max="768" width="9.140625" style="3"/>
    <col min="769" max="769" width="19" style="3" customWidth="1"/>
    <col min="770" max="770" width="47.42578125" style="3" customWidth="1"/>
    <col min="771" max="771" width="0" style="3" hidden="1" customWidth="1"/>
    <col min="772" max="772" width="9.7109375" style="3" customWidth="1"/>
    <col min="773" max="773" width="10.7109375" style="3" customWidth="1"/>
    <col min="774" max="774" width="0" style="3" hidden="1" customWidth="1"/>
    <col min="775" max="775" width="10.7109375" style="3" customWidth="1"/>
    <col min="776" max="780" width="0" style="3" hidden="1" customWidth="1"/>
    <col min="781" max="781" width="11.28515625" style="3" customWidth="1"/>
    <col min="782" max="788" width="0" style="3" hidden="1" customWidth="1"/>
    <col min="789" max="1024" width="9.140625" style="3"/>
    <col min="1025" max="1025" width="19" style="3" customWidth="1"/>
    <col min="1026" max="1026" width="47.42578125" style="3" customWidth="1"/>
    <col min="1027" max="1027" width="0" style="3" hidden="1" customWidth="1"/>
    <col min="1028" max="1028" width="9.7109375" style="3" customWidth="1"/>
    <col min="1029" max="1029" width="10.7109375" style="3" customWidth="1"/>
    <col min="1030" max="1030" width="0" style="3" hidden="1" customWidth="1"/>
    <col min="1031" max="1031" width="10.7109375" style="3" customWidth="1"/>
    <col min="1032" max="1036" width="0" style="3" hidden="1" customWidth="1"/>
    <col min="1037" max="1037" width="11.28515625" style="3" customWidth="1"/>
    <col min="1038" max="1044" width="0" style="3" hidden="1" customWidth="1"/>
    <col min="1045" max="1280" width="9.140625" style="3"/>
    <col min="1281" max="1281" width="19" style="3" customWidth="1"/>
    <col min="1282" max="1282" width="47.42578125" style="3" customWidth="1"/>
    <col min="1283" max="1283" width="0" style="3" hidden="1" customWidth="1"/>
    <col min="1284" max="1284" width="9.7109375" style="3" customWidth="1"/>
    <col min="1285" max="1285" width="10.7109375" style="3" customWidth="1"/>
    <col min="1286" max="1286" width="0" style="3" hidden="1" customWidth="1"/>
    <col min="1287" max="1287" width="10.7109375" style="3" customWidth="1"/>
    <col min="1288" max="1292" width="0" style="3" hidden="1" customWidth="1"/>
    <col min="1293" max="1293" width="11.28515625" style="3" customWidth="1"/>
    <col min="1294" max="1300" width="0" style="3" hidden="1" customWidth="1"/>
    <col min="1301" max="1536" width="9.140625" style="3"/>
    <col min="1537" max="1537" width="19" style="3" customWidth="1"/>
    <col min="1538" max="1538" width="47.42578125" style="3" customWidth="1"/>
    <col min="1539" max="1539" width="0" style="3" hidden="1" customWidth="1"/>
    <col min="1540" max="1540" width="9.7109375" style="3" customWidth="1"/>
    <col min="1541" max="1541" width="10.7109375" style="3" customWidth="1"/>
    <col min="1542" max="1542" width="0" style="3" hidden="1" customWidth="1"/>
    <col min="1543" max="1543" width="10.7109375" style="3" customWidth="1"/>
    <col min="1544" max="1548" width="0" style="3" hidden="1" customWidth="1"/>
    <col min="1549" max="1549" width="11.28515625" style="3" customWidth="1"/>
    <col min="1550" max="1556" width="0" style="3" hidden="1" customWidth="1"/>
    <col min="1557" max="1792" width="9.140625" style="3"/>
    <col min="1793" max="1793" width="19" style="3" customWidth="1"/>
    <col min="1794" max="1794" width="47.42578125" style="3" customWidth="1"/>
    <col min="1795" max="1795" width="0" style="3" hidden="1" customWidth="1"/>
    <col min="1796" max="1796" width="9.7109375" style="3" customWidth="1"/>
    <col min="1797" max="1797" width="10.7109375" style="3" customWidth="1"/>
    <col min="1798" max="1798" width="0" style="3" hidden="1" customWidth="1"/>
    <col min="1799" max="1799" width="10.7109375" style="3" customWidth="1"/>
    <col min="1800" max="1804" width="0" style="3" hidden="1" customWidth="1"/>
    <col min="1805" max="1805" width="11.28515625" style="3" customWidth="1"/>
    <col min="1806" max="1812" width="0" style="3" hidden="1" customWidth="1"/>
    <col min="1813" max="2048" width="9.140625" style="3"/>
    <col min="2049" max="2049" width="19" style="3" customWidth="1"/>
    <col min="2050" max="2050" width="47.42578125" style="3" customWidth="1"/>
    <col min="2051" max="2051" width="0" style="3" hidden="1" customWidth="1"/>
    <col min="2052" max="2052" width="9.7109375" style="3" customWidth="1"/>
    <col min="2053" max="2053" width="10.7109375" style="3" customWidth="1"/>
    <col min="2054" max="2054" width="0" style="3" hidden="1" customWidth="1"/>
    <col min="2055" max="2055" width="10.7109375" style="3" customWidth="1"/>
    <col min="2056" max="2060" width="0" style="3" hidden="1" customWidth="1"/>
    <col min="2061" max="2061" width="11.28515625" style="3" customWidth="1"/>
    <col min="2062" max="2068" width="0" style="3" hidden="1" customWidth="1"/>
    <col min="2069" max="2304" width="9.140625" style="3"/>
    <col min="2305" max="2305" width="19" style="3" customWidth="1"/>
    <col min="2306" max="2306" width="47.42578125" style="3" customWidth="1"/>
    <col min="2307" max="2307" width="0" style="3" hidden="1" customWidth="1"/>
    <col min="2308" max="2308" width="9.7109375" style="3" customWidth="1"/>
    <col min="2309" max="2309" width="10.7109375" style="3" customWidth="1"/>
    <col min="2310" max="2310" width="0" style="3" hidden="1" customWidth="1"/>
    <col min="2311" max="2311" width="10.7109375" style="3" customWidth="1"/>
    <col min="2312" max="2316" width="0" style="3" hidden="1" customWidth="1"/>
    <col min="2317" max="2317" width="11.28515625" style="3" customWidth="1"/>
    <col min="2318" max="2324" width="0" style="3" hidden="1" customWidth="1"/>
    <col min="2325" max="2560" width="9.140625" style="3"/>
    <col min="2561" max="2561" width="19" style="3" customWidth="1"/>
    <col min="2562" max="2562" width="47.42578125" style="3" customWidth="1"/>
    <col min="2563" max="2563" width="0" style="3" hidden="1" customWidth="1"/>
    <col min="2564" max="2564" width="9.7109375" style="3" customWidth="1"/>
    <col min="2565" max="2565" width="10.7109375" style="3" customWidth="1"/>
    <col min="2566" max="2566" width="0" style="3" hidden="1" customWidth="1"/>
    <col min="2567" max="2567" width="10.7109375" style="3" customWidth="1"/>
    <col min="2568" max="2572" width="0" style="3" hidden="1" customWidth="1"/>
    <col min="2573" max="2573" width="11.28515625" style="3" customWidth="1"/>
    <col min="2574" max="2580" width="0" style="3" hidden="1" customWidth="1"/>
    <col min="2581" max="2816" width="9.140625" style="3"/>
    <col min="2817" max="2817" width="19" style="3" customWidth="1"/>
    <col min="2818" max="2818" width="47.42578125" style="3" customWidth="1"/>
    <col min="2819" max="2819" width="0" style="3" hidden="1" customWidth="1"/>
    <col min="2820" max="2820" width="9.7109375" style="3" customWidth="1"/>
    <col min="2821" max="2821" width="10.7109375" style="3" customWidth="1"/>
    <col min="2822" max="2822" width="0" style="3" hidden="1" customWidth="1"/>
    <col min="2823" max="2823" width="10.7109375" style="3" customWidth="1"/>
    <col min="2824" max="2828" width="0" style="3" hidden="1" customWidth="1"/>
    <col min="2829" max="2829" width="11.28515625" style="3" customWidth="1"/>
    <col min="2830" max="2836" width="0" style="3" hidden="1" customWidth="1"/>
    <col min="2837" max="3072" width="9.140625" style="3"/>
    <col min="3073" max="3073" width="19" style="3" customWidth="1"/>
    <col min="3074" max="3074" width="47.42578125" style="3" customWidth="1"/>
    <col min="3075" max="3075" width="0" style="3" hidden="1" customWidth="1"/>
    <col min="3076" max="3076" width="9.7109375" style="3" customWidth="1"/>
    <col min="3077" max="3077" width="10.7109375" style="3" customWidth="1"/>
    <col min="3078" max="3078" width="0" style="3" hidden="1" customWidth="1"/>
    <col min="3079" max="3079" width="10.7109375" style="3" customWidth="1"/>
    <col min="3080" max="3084" width="0" style="3" hidden="1" customWidth="1"/>
    <col min="3085" max="3085" width="11.28515625" style="3" customWidth="1"/>
    <col min="3086" max="3092" width="0" style="3" hidden="1" customWidth="1"/>
    <col min="3093" max="3328" width="9.140625" style="3"/>
    <col min="3329" max="3329" width="19" style="3" customWidth="1"/>
    <col min="3330" max="3330" width="47.42578125" style="3" customWidth="1"/>
    <col min="3331" max="3331" width="0" style="3" hidden="1" customWidth="1"/>
    <col min="3332" max="3332" width="9.7109375" style="3" customWidth="1"/>
    <col min="3333" max="3333" width="10.7109375" style="3" customWidth="1"/>
    <col min="3334" max="3334" width="0" style="3" hidden="1" customWidth="1"/>
    <col min="3335" max="3335" width="10.7109375" style="3" customWidth="1"/>
    <col min="3336" max="3340" width="0" style="3" hidden="1" customWidth="1"/>
    <col min="3341" max="3341" width="11.28515625" style="3" customWidth="1"/>
    <col min="3342" max="3348" width="0" style="3" hidden="1" customWidth="1"/>
    <col min="3349" max="3584" width="9.140625" style="3"/>
    <col min="3585" max="3585" width="19" style="3" customWidth="1"/>
    <col min="3586" max="3586" width="47.42578125" style="3" customWidth="1"/>
    <col min="3587" max="3587" width="0" style="3" hidden="1" customWidth="1"/>
    <col min="3588" max="3588" width="9.7109375" style="3" customWidth="1"/>
    <col min="3589" max="3589" width="10.7109375" style="3" customWidth="1"/>
    <col min="3590" max="3590" width="0" style="3" hidden="1" customWidth="1"/>
    <col min="3591" max="3591" width="10.7109375" style="3" customWidth="1"/>
    <col min="3592" max="3596" width="0" style="3" hidden="1" customWidth="1"/>
    <col min="3597" max="3597" width="11.28515625" style="3" customWidth="1"/>
    <col min="3598" max="3604" width="0" style="3" hidden="1" customWidth="1"/>
    <col min="3605" max="3840" width="9.140625" style="3"/>
    <col min="3841" max="3841" width="19" style="3" customWidth="1"/>
    <col min="3842" max="3842" width="47.42578125" style="3" customWidth="1"/>
    <col min="3843" max="3843" width="0" style="3" hidden="1" customWidth="1"/>
    <col min="3844" max="3844" width="9.7109375" style="3" customWidth="1"/>
    <col min="3845" max="3845" width="10.7109375" style="3" customWidth="1"/>
    <col min="3846" max="3846" width="0" style="3" hidden="1" customWidth="1"/>
    <col min="3847" max="3847" width="10.7109375" style="3" customWidth="1"/>
    <col min="3848" max="3852" width="0" style="3" hidden="1" customWidth="1"/>
    <col min="3853" max="3853" width="11.28515625" style="3" customWidth="1"/>
    <col min="3854" max="3860" width="0" style="3" hidden="1" customWidth="1"/>
    <col min="3861" max="4096" width="9.140625" style="3"/>
    <col min="4097" max="4097" width="19" style="3" customWidth="1"/>
    <col min="4098" max="4098" width="47.42578125" style="3" customWidth="1"/>
    <col min="4099" max="4099" width="0" style="3" hidden="1" customWidth="1"/>
    <col min="4100" max="4100" width="9.7109375" style="3" customWidth="1"/>
    <col min="4101" max="4101" width="10.7109375" style="3" customWidth="1"/>
    <col min="4102" max="4102" width="0" style="3" hidden="1" customWidth="1"/>
    <col min="4103" max="4103" width="10.7109375" style="3" customWidth="1"/>
    <col min="4104" max="4108" width="0" style="3" hidden="1" customWidth="1"/>
    <col min="4109" max="4109" width="11.28515625" style="3" customWidth="1"/>
    <col min="4110" max="4116" width="0" style="3" hidden="1" customWidth="1"/>
    <col min="4117" max="4352" width="9.140625" style="3"/>
    <col min="4353" max="4353" width="19" style="3" customWidth="1"/>
    <col min="4354" max="4354" width="47.42578125" style="3" customWidth="1"/>
    <col min="4355" max="4355" width="0" style="3" hidden="1" customWidth="1"/>
    <col min="4356" max="4356" width="9.7109375" style="3" customWidth="1"/>
    <col min="4357" max="4357" width="10.7109375" style="3" customWidth="1"/>
    <col min="4358" max="4358" width="0" style="3" hidden="1" customWidth="1"/>
    <col min="4359" max="4359" width="10.7109375" style="3" customWidth="1"/>
    <col min="4360" max="4364" width="0" style="3" hidden="1" customWidth="1"/>
    <col min="4365" max="4365" width="11.28515625" style="3" customWidth="1"/>
    <col min="4366" max="4372" width="0" style="3" hidden="1" customWidth="1"/>
    <col min="4373" max="4608" width="9.140625" style="3"/>
    <col min="4609" max="4609" width="19" style="3" customWidth="1"/>
    <col min="4610" max="4610" width="47.42578125" style="3" customWidth="1"/>
    <col min="4611" max="4611" width="0" style="3" hidden="1" customWidth="1"/>
    <col min="4612" max="4612" width="9.7109375" style="3" customWidth="1"/>
    <col min="4613" max="4613" width="10.7109375" style="3" customWidth="1"/>
    <col min="4614" max="4614" width="0" style="3" hidden="1" customWidth="1"/>
    <col min="4615" max="4615" width="10.7109375" style="3" customWidth="1"/>
    <col min="4616" max="4620" width="0" style="3" hidden="1" customWidth="1"/>
    <col min="4621" max="4621" width="11.28515625" style="3" customWidth="1"/>
    <col min="4622" max="4628" width="0" style="3" hidden="1" customWidth="1"/>
    <col min="4629" max="4864" width="9.140625" style="3"/>
    <col min="4865" max="4865" width="19" style="3" customWidth="1"/>
    <col min="4866" max="4866" width="47.42578125" style="3" customWidth="1"/>
    <col min="4867" max="4867" width="0" style="3" hidden="1" customWidth="1"/>
    <col min="4868" max="4868" width="9.7109375" style="3" customWidth="1"/>
    <col min="4869" max="4869" width="10.7109375" style="3" customWidth="1"/>
    <col min="4870" max="4870" width="0" style="3" hidden="1" customWidth="1"/>
    <col min="4871" max="4871" width="10.7109375" style="3" customWidth="1"/>
    <col min="4872" max="4876" width="0" style="3" hidden="1" customWidth="1"/>
    <col min="4877" max="4877" width="11.28515625" style="3" customWidth="1"/>
    <col min="4878" max="4884" width="0" style="3" hidden="1" customWidth="1"/>
    <col min="4885" max="5120" width="9.140625" style="3"/>
    <col min="5121" max="5121" width="19" style="3" customWidth="1"/>
    <col min="5122" max="5122" width="47.42578125" style="3" customWidth="1"/>
    <col min="5123" max="5123" width="0" style="3" hidden="1" customWidth="1"/>
    <col min="5124" max="5124" width="9.7109375" style="3" customWidth="1"/>
    <col min="5125" max="5125" width="10.7109375" style="3" customWidth="1"/>
    <col min="5126" max="5126" width="0" style="3" hidden="1" customWidth="1"/>
    <col min="5127" max="5127" width="10.7109375" style="3" customWidth="1"/>
    <col min="5128" max="5132" width="0" style="3" hidden="1" customWidth="1"/>
    <col min="5133" max="5133" width="11.28515625" style="3" customWidth="1"/>
    <col min="5134" max="5140" width="0" style="3" hidden="1" customWidth="1"/>
    <col min="5141" max="5376" width="9.140625" style="3"/>
    <col min="5377" max="5377" width="19" style="3" customWidth="1"/>
    <col min="5378" max="5378" width="47.42578125" style="3" customWidth="1"/>
    <col min="5379" max="5379" width="0" style="3" hidden="1" customWidth="1"/>
    <col min="5380" max="5380" width="9.7109375" style="3" customWidth="1"/>
    <col min="5381" max="5381" width="10.7109375" style="3" customWidth="1"/>
    <col min="5382" max="5382" width="0" style="3" hidden="1" customWidth="1"/>
    <col min="5383" max="5383" width="10.7109375" style="3" customWidth="1"/>
    <col min="5384" max="5388" width="0" style="3" hidden="1" customWidth="1"/>
    <col min="5389" max="5389" width="11.28515625" style="3" customWidth="1"/>
    <col min="5390" max="5396" width="0" style="3" hidden="1" customWidth="1"/>
    <col min="5397" max="5632" width="9.140625" style="3"/>
    <col min="5633" max="5633" width="19" style="3" customWidth="1"/>
    <col min="5634" max="5634" width="47.42578125" style="3" customWidth="1"/>
    <col min="5635" max="5635" width="0" style="3" hidden="1" customWidth="1"/>
    <col min="5636" max="5636" width="9.7109375" style="3" customWidth="1"/>
    <col min="5637" max="5637" width="10.7109375" style="3" customWidth="1"/>
    <col min="5638" max="5638" width="0" style="3" hidden="1" customWidth="1"/>
    <col min="5639" max="5639" width="10.7109375" style="3" customWidth="1"/>
    <col min="5640" max="5644" width="0" style="3" hidden="1" customWidth="1"/>
    <col min="5645" max="5645" width="11.28515625" style="3" customWidth="1"/>
    <col min="5646" max="5652" width="0" style="3" hidden="1" customWidth="1"/>
    <col min="5653" max="5888" width="9.140625" style="3"/>
    <col min="5889" max="5889" width="19" style="3" customWidth="1"/>
    <col min="5890" max="5890" width="47.42578125" style="3" customWidth="1"/>
    <col min="5891" max="5891" width="0" style="3" hidden="1" customWidth="1"/>
    <col min="5892" max="5892" width="9.7109375" style="3" customWidth="1"/>
    <col min="5893" max="5893" width="10.7109375" style="3" customWidth="1"/>
    <col min="5894" max="5894" width="0" style="3" hidden="1" customWidth="1"/>
    <col min="5895" max="5895" width="10.7109375" style="3" customWidth="1"/>
    <col min="5896" max="5900" width="0" style="3" hidden="1" customWidth="1"/>
    <col min="5901" max="5901" width="11.28515625" style="3" customWidth="1"/>
    <col min="5902" max="5908" width="0" style="3" hidden="1" customWidth="1"/>
    <col min="5909" max="6144" width="9.140625" style="3"/>
    <col min="6145" max="6145" width="19" style="3" customWidth="1"/>
    <col min="6146" max="6146" width="47.42578125" style="3" customWidth="1"/>
    <col min="6147" max="6147" width="0" style="3" hidden="1" customWidth="1"/>
    <col min="6148" max="6148" width="9.7109375" style="3" customWidth="1"/>
    <col min="6149" max="6149" width="10.7109375" style="3" customWidth="1"/>
    <col min="6150" max="6150" width="0" style="3" hidden="1" customWidth="1"/>
    <col min="6151" max="6151" width="10.7109375" style="3" customWidth="1"/>
    <col min="6152" max="6156" width="0" style="3" hidden="1" customWidth="1"/>
    <col min="6157" max="6157" width="11.28515625" style="3" customWidth="1"/>
    <col min="6158" max="6164" width="0" style="3" hidden="1" customWidth="1"/>
    <col min="6165" max="6400" width="9.140625" style="3"/>
    <col min="6401" max="6401" width="19" style="3" customWidth="1"/>
    <col min="6402" max="6402" width="47.42578125" style="3" customWidth="1"/>
    <col min="6403" max="6403" width="0" style="3" hidden="1" customWidth="1"/>
    <col min="6404" max="6404" width="9.7109375" style="3" customWidth="1"/>
    <col min="6405" max="6405" width="10.7109375" style="3" customWidth="1"/>
    <col min="6406" max="6406" width="0" style="3" hidden="1" customWidth="1"/>
    <col min="6407" max="6407" width="10.7109375" style="3" customWidth="1"/>
    <col min="6408" max="6412" width="0" style="3" hidden="1" customWidth="1"/>
    <col min="6413" max="6413" width="11.28515625" style="3" customWidth="1"/>
    <col min="6414" max="6420" width="0" style="3" hidden="1" customWidth="1"/>
    <col min="6421" max="6656" width="9.140625" style="3"/>
    <col min="6657" max="6657" width="19" style="3" customWidth="1"/>
    <col min="6658" max="6658" width="47.42578125" style="3" customWidth="1"/>
    <col min="6659" max="6659" width="0" style="3" hidden="1" customWidth="1"/>
    <col min="6660" max="6660" width="9.7109375" style="3" customWidth="1"/>
    <col min="6661" max="6661" width="10.7109375" style="3" customWidth="1"/>
    <col min="6662" max="6662" width="0" style="3" hidden="1" customWidth="1"/>
    <col min="6663" max="6663" width="10.7109375" style="3" customWidth="1"/>
    <col min="6664" max="6668" width="0" style="3" hidden="1" customWidth="1"/>
    <col min="6669" max="6669" width="11.28515625" style="3" customWidth="1"/>
    <col min="6670" max="6676" width="0" style="3" hidden="1" customWidth="1"/>
    <col min="6677" max="6912" width="9.140625" style="3"/>
    <col min="6913" max="6913" width="19" style="3" customWidth="1"/>
    <col min="6914" max="6914" width="47.42578125" style="3" customWidth="1"/>
    <col min="6915" max="6915" width="0" style="3" hidden="1" customWidth="1"/>
    <col min="6916" max="6916" width="9.7109375" style="3" customWidth="1"/>
    <col min="6917" max="6917" width="10.7109375" style="3" customWidth="1"/>
    <col min="6918" max="6918" width="0" style="3" hidden="1" customWidth="1"/>
    <col min="6919" max="6919" width="10.7109375" style="3" customWidth="1"/>
    <col min="6920" max="6924" width="0" style="3" hidden="1" customWidth="1"/>
    <col min="6925" max="6925" width="11.28515625" style="3" customWidth="1"/>
    <col min="6926" max="6932" width="0" style="3" hidden="1" customWidth="1"/>
    <col min="6933" max="7168" width="9.140625" style="3"/>
    <col min="7169" max="7169" width="19" style="3" customWidth="1"/>
    <col min="7170" max="7170" width="47.42578125" style="3" customWidth="1"/>
    <col min="7171" max="7171" width="0" style="3" hidden="1" customWidth="1"/>
    <col min="7172" max="7172" width="9.7109375" style="3" customWidth="1"/>
    <col min="7173" max="7173" width="10.7109375" style="3" customWidth="1"/>
    <col min="7174" max="7174" width="0" style="3" hidden="1" customWidth="1"/>
    <col min="7175" max="7175" width="10.7109375" style="3" customWidth="1"/>
    <col min="7176" max="7180" width="0" style="3" hidden="1" customWidth="1"/>
    <col min="7181" max="7181" width="11.28515625" style="3" customWidth="1"/>
    <col min="7182" max="7188" width="0" style="3" hidden="1" customWidth="1"/>
    <col min="7189" max="7424" width="9.140625" style="3"/>
    <col min="7425" max="7425" width="19" style="3" customWidth="1"/>
    <col min="7426" max="7426" width="47.42578125" style="3" customWidth="1"/>
    <col min="7427" max="7427" width="0" style="3" hidden="1" customWidth="1"/>
    <col min="7428" max="7428" width="9.7109375" style="3" customWidth="1"/>
    <col min="7429" max="7429" width="10.7109375" style="3" customWidth="1"/>
    <col min="7430" max="7430" width="0" style="3" hidden="1" customWidth="1"/>
    <col min="7431" max="7431" width="10.7109375" style="3" customWidth="1"/>
    <col min="7432" max="7436" width="0" style="3" hidden="1" customWidth="1"/>
    <col min="7437" max="7437" width="11.28515625" style="3" customWidth="1"/>
    <col min="7438" max="7444" width="0" style="3" hidden="1" customWidth="1"/>
    <col min="7445" max="7680" width="9.140625" style="3"/>
    <col min="7681" max="7681" width="19" style="3" customWidth="1"/>
    <col min="7682" max="7682" width="47.42578125" style="3" customWidth="1"/>
    <col min="7683" max="7683" width="0" style="3" hidden="1" customWidth="1"/>
    <col min="7684" max="7684" width="9.7109375" style="3" customWidth="1"/>
    <col min="7685" max="7685" width="10.7109375" style="3" customWidth="1"/>
    <col min="7686" max="7686" width="0" style="3" hidden="1" customWidth="1"/>
    <col min="7687" max="7687" width="10.7109375" style="3" customWidth="1"/>
    <col min="7688" max="7692" width="0" style="3" hidden="1" customWidth="1"/>
    <col min="7693" max="7693" width="11.28515625" style="3" customWidth="1"/>
    <col min="7694" max="7700" width="0" style="3" hidden="1" customWidth="1"/>
    <col min="7701" max="7936" width="9.140625" style="3"/>
    <col min="7937" max="7937" width="19" style="3" customWidth="1"/>
    <col min="7938" max="7938" width="47.42578125" style="3" customWidth="1"/>
    <col min="7939" max="7939" width="0" style="3" hidden="1" customWidth="1"/>
    <col min="7940" max="7940" width="9.7109375" style="3" customWidth="1"/>
    <col min="7941" max="7941" width="10.7109375" style="3" customWidth="1"/>
    <col min="7942" max="7942" width="0" style="3" hidden="1" customWidth="1"/>
    <col min="7943" max="7943" width="10.7109375" style="3" customWidth="1"/>
    <col min="7944" max="7948" width="0" style="3" hidden="1" customWidth="1"/>
    <col min="7949" max="7949" width="11.28515625" style="3" customWidth="1"/>
    <col min="7950" max="7956" width="0" style="3" hidden="1" customWidth="1"/>
    <col min="7957" max="8192" width="9.140625" style="3"/>
    <col min="8193" max="8193" width="19" style="3" customWidth="1"/>
    <col min="8194" max="8194" width="47.42578125" style="3" customWidth="1"/>
    <col min="8195" max="8195" width="0" style="3" hidden="1" customWidth="1"/>
    <col min="8196" max="8196" width="9.7109375" style="3" customWidth="1"/>
    <col min="8197" max="8197" width="10.7109375" style="3" customWidth="1"/>
    <col min="8198" max="8198" width="0" style="3" hidden="1" customWidth="1"/>
    <col min="8199" max="8199" width="10.7109375" style="3" customWidth="1"/>
    <col min="8200" max="8204" width="0" style="3" hidden="1" customWidth="1"/>
    <col min="8205" max="8205" width="11.28515625" style="3" customWidth="1"/>
    <col min="8206" max="8212" width="0" style="3" hidden="1" customWidth="1"/>
    <col min="8213" max="8448" width="9.140625" style="3"/>
    <col min="8449" max="8449" width="19" style="3" customWidth="1"/>
    <col min="8450" max="8450" width="47.42578125" style="3" customWidth="1"/>
    <col min="8451" max="8451" width="0" style="3" hidden="1" customWidth="1"/>
    <col min="8452" max="8452" width="9.7109375" style="3" customWidth="1"/>
    <col min="8453" max="8453" width="10.7109375" style="3" customWidth="1"/>
    <col min="8454" max="8454" width="0" style="3" hidden="1" customWidth="1"/>
    <col min="8455" max="8455" width="10.7109375" style="3" customWidth="1"/>
    <col min="8456" max="8460" width="0" style="3" hidden="1" customWidth="1"/>
    <col min="8461" max="8461" width="11.28515625" style="3" customWidth="1"/>
    <col min="8462" max="8468" width="0" style="3" hidden="1" customWidth="1"/>
    <col min="8469" max="8704" width="9.140625" style="3"/>
    <col min="8705" max="8705" width="19" style="3" customWidth="1"/>
    <col min="8706" max="8706" width="47.42578125" style="3" customWidth="1"/>
    <col min="8707" max="8707" width="0" style="3" hidden="1" customWidth="1"/>
    <col min="8708" max="8708" width="9.7109375" style="3" customWidth="1"/>
    <col min="8709" max="8709" width="10.7109375" style="3" customWidth="1"/>
    <col min="8710" max="8710" width="0" style="3" hidden="1" customWidth="1"/>
    <col min="8711" max="8711" width="10.7109375" style="3" customWidth="1"/>
    <col min="8712" max="8716" width="0" style="3" hidden="1" customWidth="1"/>
    <col min="8717" max="8717" width="11.28515625" style="3" customWidth="1"/>
    <col min="8718" max="8724" width="0" style="3" hidden="1" customWidth="1"/>
    <col min="8725" max="8960" width="9.140625" style="3"/>
    <col min="8961" max="8961" width="19" style="3" customWidth="1"/>
    <col min="8962" max="8962" width="47.42578125" style="3" customWidth="1"/>
    <col min="8963" max="8963" width="0" style="3" hidden="1" customWidth="1"/>
    <col min="8964" max="8964" width="9.7109375" style="3" customWidth="1"/>
    <col min="8965" max="8965" width="10.7109375" style="3" customWidth="1"/>
    <col min="8966" max="8966" width="0" style="3" hidden="1" customWidth="1"/>
    <col min="8967" max="8967" width="10.7109375" style="3" customWidth="1"/>
    <col min="8968" max="8972" width="0" style="3" hidden="1" customWidth="1"/>
    <col min="8973" max="8973" width="11.28515625" style="3" customWidth="1"/>
    <col min="8974" max="8980" width="0" style="3" hidden="1" customWidth="1"/>
    <col min="8981" max="9216" width="9.140625" style="3"/>
    <col min="9217" max="9217" width="19" style="3" customWidth="1"/>
    <col min="9218" max="9218" width="47.42578125" style="3" customWidth="1"/>
    <col min="9219" max="9219" width="0" style="3" hidden="1" customWidth="1"/>
    <col min="9220" max="9220" width="9.7109375" style="3" customWidth="1"/>
    <col min="9221" max="9221" width="10.7109375" style="3" customWidth="1"/>
    <col min="9222" max="9222" width="0" style="3" hidden="1" customWidth="1"/>
    <col min="9223" max="9223" width="10.7109375" style="3" customWidth="1"/>
    <col min="9224" max="9228" width="0" style="3" hidden="1" customWidth="1"/>
    <col min="9229" max="9229" width="11.28515625" style="3" customWidth="1"/>
    <col min="9230" max="9236" width="0" style="3" hidden="1" customWidth="1"/>
    <col min="9237" max="9472" width="9.140625" style="3"/>
    <col min="9473" max="9473" width="19" style="3" customWidth="1"/>
    <col min="9474" max="9474" width="47.42578125" style="3" customWidth="1"/>
    <col min="9475" max="9475" width="0" style="3" hidden="1" customWidth="1"/>
    <col min="9476" max="9476" width="9.7109375" style="3" customWidth="1"/>
    <col min="9477" max="9477" width="10.7109375" style="3" customWidth="1"/>
    <col min="9478" max="9478" width="0" style="3" hidden="1" customWidth="1"/>
    <col min="9479" max="9479" width="10.7109375" style="3" customWidth="1"/>
    <col min="9480" max="9484" width="0" style="3" hidden="1" customWidth="1"/>
    <col min="9485" max="9485" width="11.28515625" style="3" customWidth="1"/>
    <col min="9486" max="9492" width="0" style="3" hidden="1" customWidth="1"/>
    <col min="9493" max="9728" width="9.140625" style="3"/>
    <col min="9729" max="9729" width="19" style="3" customWidth="1"/>
    <col min="9730" max="9730" width="47.42578125" style="3" customWidth="1"/>
    <col min="9731" max="9731" width="0" style="3" hidden="1" customWidth="1"/>
    <col min="9732" max="9732" width="9.7109375" style="3" customWidth="1"/>
    <col min="9733" max="9733" width="10.7109375" style="3" customWidth="1"/>
    <col min="9734" max="9734" width="0" style="3" hidden="1" customWidth="1"/>
    <col min="9735" max="9735" width="10.7109375" style="3" customWidth="1"/>
    <col min="9736" max="9740" width="0" style="3" hidden="1" customWidth="1"/>
    <col min="9741" max="9741" width="11.28515625" style="3" customWidth="1"/>
    <col min="9742" max="9748" width="0" style="3" hidden="1" customWidth="1"/>
    <col min="9749" max="9984" width="9.140625" style="3"/>
    <col min="9985" max="9985" width="19" style="3" customWidth="1"/>
    <col min="9986" max="9986" width="47.42578125" style="3" customWidth="1"/>
    <col min="9987" max="9987" width="0" style="3" hidden="1" customWidth="1"/>
    <col min="9988" max="9988" width="9.7109375" style="3" customWidth="1"/>
    <col min="9989" max="9989" width="10.7109375" style="3" customWidth="1"/>
    <col min="9990" max="9990" width="0" style="3" hidden="1" customWidth="1"/>
    <col min="9991" max="9991" width="10.7109375" style="3" customWidth="1"/>
    <col min="9992" max="9996" width="0" style="3" hidden="1" customWidth="1"/>
    <col min="9997" max="9997" width="11.28515625" style="3" customWidth="1"/>
    <col min="9998" max="10004" width="0" style="3" hidden="1" customWidth="1"/>
    <col min="10005" max="10240" width="9.140625" style="3"/>
    <col min="10241" max="10241" width="19" style="3" customWidth="1"/>
    <col min="10242" max="10242" width="47.42578125" style="3" customWidth="1"/>
    <col min="10243" max="10243" width="0" style="3" hidden="1" customWidth="1"/>
    <col min="10244" max="10244" width="9.7109375" style="3" customWidth="1"/>
    <col min="10245" max="10245" width="10.7109375" style="3" customWidth="1"/>
    <col min="10246" max="10246" width="0" style="3" hidden="1" customWidth="1"/>
    <col min="10247" max="10247" width="10.7109375" style="3" customWidth="1"/>
    <col min="10248" max="10252" width="0" style="3" hidden="1" customWidth="1"/>
    <col min="10253" max="10253" width="11.28515625" style="3" customWidth="1"/>
    <col min="10254" max="10260" width="0" style="3" hidden="1" customWidth="1"/>
    <col min="10261" max="10496" width="9.140625" style="3"/>
    <col min="10497" max="10497" width="19" style="3" customWidth="1"/>
    <col min="10498" max="10498" width="47.42578125" style="3" customWidth="1"/>
    <col min="10499" max="10499" width="0" style="3" hidden="1" customWidth="1"/>
    <col min="10500" max="10500" width="9.7109375" style="3" customWidth="1"/>
    <col min="10501" max="10501" width="10.7109375" style="3" customWidth="1"/>
    <col min="10502" max="10502" width="0" style="3" hidden="1" customWidth="1"/>
    <col min="10503" max="10503" width="10.7109375" style="3" customWidth="1"/>
    <col min="10504" max="10508" width="0" style="3" hidden="1" customWidth="1"/>
    <col min="10509" max="10509" width="11.28515625" style="3" customWidth="1"/>
    <col min="10510" max="10516" width="0" style="3" hidden="1" customWidth="1"/>
    <col min="10517" max="10752" width="9.140625" style="3"/>
    <col min="10753" max="10753" width="19" style="3" customWidth="1"/>
    <col min="10754" max="10754" width="47.42578125" style="3" customWidth="1"/>
    <col min="10755" max="10755" width="0" style="3" hidden="1" customWidth="1"/>
    <col min="10756" max="10756" width="9.7109375" style="3" customWidth="1"/>
    <col min="10757" max="10757" width="10.7109375" style="3" customWidth="1"/>
    <col min="10758" max="10758" width="0" style="3" hidden="1" customWidth="1"/>
    <col min="10759" max="10759" width="10.7109375" style="3" customWidth="1"/>
    <col min="10760" max="10764" width="0" style="3" hidden="1" customWidth="1"/>
    <col min="10765" max="10765" width="11.28515625" style="3" customWidth="1"/>
    <col min="10766" max="10772" width="0" style="3" hidden="1" customWidth="1"/>
    <col min="10773" max="11008" width="9.140625" style="3"/>
    <col min="11009" max="11009" width="19" style="3" customWidth="1"/>
    <col min="11010" max="11010" width="47.42578125" style="3" customWidth="1"/>
    <col min="11011" max="11011" width="0" style="3" hidden="1" customWidth="1"/>
    <col min="11012" max="11012" width="9.7109375" style="3" customWidth="1"/>
    <col min="11013" max="11013" width="10.7109375" style="3" customWidth="1"/>
    <col min="11014" max="11014" width="0" style="3" hidden="1" customWidth="1"/>
    <col min="11015" max="11015" width="10.7109375" style="3" customWidth="1"/>
    <col min="11016" max="11020" width="0" style="3" hidden="1" customWidth="1"/>
    <col min="11021" max="11021" width="11.28515625" style="3" customWidth="1"/>
    <col min="11022" max="11028" width="0" style="3" hidden="1" customWidth="1"/>
    <col min="11029" max="11264" width="9.140625" style="3"/>
    <col min="11265" max="11265" width="19" style="3" customWidth="1"/>
    <col min="11266" max="11266" width="47.42578125" style="3" customWidth="1"/>
    <col min="11267" max="11267" width="0" style="3" hidden="1" customWidth="1"/>
    <col min="11268" max="11268" width="9.7109375" style="3" customWidth="1"/>
    <col min="11269" max="11269" width="10.7109375" style="3" customWidth="1"/>
    <col min="11270" max="11270" width="0" style="3" hidden="1" customWidth="1"/>
    <col min="11271" max="11271" width="10.7109375" style="3" customWidth="1"/>
    <col min="11272" max="11276" width="0" style="3" hidden="1" customWidth="1"/>
    <col min="11277" max="11277" width="11.28515625" style="3" customWidth="1"/>
    <col min="11278" max="11284" width="0" style="3" hidden="1" customWidth="1"/>
    <col min="11285" max="11520" width="9.140625" style="3"/>
    <col min="11521" max="11521" width="19" style="3" customWidth="1"/>
    <col min="11522" max="11522" width="47.42578125" style="3" customWidth="1"/>
    <col min="11523" max="11523" width="0" style="3" hidden="1" customWidth="1"/>
    <col min="11524" max="11524" width="9.7109375" style="3" customWidth="1"/>
    <col min="11525" max="11525" width="10.7109375" style="3" customWidth="1"/>
    <col min="11526" max="11526" width="0" style="3" hidden="1" customWidth="1"/>
    <col min="11527" max="11527" width="10.7109375" style="3" customWidth="1"/>
    <col min="11528" max="11532" width="0" style="3" hidden="1" customWidth="1"/>
    <col min="11533" max="11533" width="11.28515625" style="3" customWidth="1"/>
    <col min="11534" max="11540" width="0" style="3" hidden="1" customWidth="1"/>
    <col min="11541" max="11776" width="9.140625" style="3"/>
    <col min="11777" max="11777" width="19" style="3" customWidth="1"/>
    <col min="11778" max="11778" width="47.42578125" style="3" customWidth="1"/>
    <col min="11779" max="11779" width="0" style="3" hidden="1" customWidth="1"/>
    <col min="11780" max="11780" width="9.7109375" style="3" customWidth="1"/>
    <col min="11781" max="11781" width="10.7109375" style="3" customWidth="1"/>
    <col min="11782" max="11782" width="0" style="3" hidden="1" customWidth="1"/>
    <col min="11783" max="11783" width="10.7109375" style="3" customWidth="1"/>
    <col min="11784" max="11788" width="0" style="3" hidden="1" customWidth="1"/>
    <col min="11789" max="11789" width="11.28515625" style="3" customWidth="1"/>
    <col min="11790" max="11796" width="0" style="3" hidden="1" customWidth="1"/>
    <col min="11797" max="12032" width="9.140625" style="3"/>
    <col min="12033" max="12033" width="19" style="3" customWidth="1"/>
    <col min="12034" max="12034" width="47.42578125" style="3" customWidth="1"/>
    <col min="12035" max="12035" width="0" style="3" hidden="1" customWidth="1"/>
    <col min="12036" max="12036" width="9.7109375" style="3" customWidth="1"/>
    <col min="12037" max="12037" width="10.7109375" style="3" customWidth="1"/>
    <col min="12038" max="12038" width="0" style="3" hidden="1" customWidth="1"/>
    <col min="12039" max="12039" width="10.7109375" style="3" customWidth="1"/>
    <col min="12040" max="12044" width="0" style="3" hidden="1" customWidth="1"/>
    <col min="12045" max="12045" width="11.28515625" style="3" customWidth="1"/>
    <col min="12046" max="12052" width="0" style="3" hidden="1" customWidth="1"/>
    <col min="12053" max="12288" width="9.140625" style="3"/>
    <col min="12289" max="12289" width="19" style="3" customWidth="1"/>
    <col min="12290" max="12290" width="47.42578125" style="3" customWidth="1"/>
    <col min="12291" max="12291" width="0" style="3" hidden="1" customWidth="1"/>
    <col min="12292" max="12292" width="9.7109375" style="3" customWidth="1"/>
    <col min="12293" max="12293" width="10.7109375" style="3" customWidth="1"/>
    <col min="12294" max="12294" width="0" style="3" hidden="1" customWidth="1"/>
    <col min="12295" max="12295" width="10.7109375" style="3" customWidth="1"/>
    <col min="12296" max="12300" width="0" style="3" hidden="1" customWidth="1"/>
    <col min="12301" max="12301" width="11.28515625" style="3" customWidth="1"/>
    <col min="12302" max="12308" width="0" style="3" hidden="1" customWidth="1"/>
    <col min="12309" max="12544" width="9.140625" style="3"/>
    <col min="12545" max="12545" width="19" style="3" customWidth="1"/>
    <col min="12546" max="12546" width="47.42578125" style="3" customWidth="1"/>
    <col min="12547" max="12547" width="0" style="3" hidden="1" customWidth="1"/>
    <col min="12548" max="12548" width="9.7109375" style="3" customWidth="1"/>
    <col min="12549" max="12549" width="10.7109375" style="3" customWidth="1"/>
    <col min="12550" max="12550" width="0" style="3" hidden="1" customWidth="1"/>
    <col min="12551" max="12551" width="10.7109375" style="3" customWidth="1"/>
    <col min="12552" max="12556" width="0" style="3" hidden="1" customWidth="1"/>
    <col min="12557" max="12557" width="11.28515625" style="3" customWidth="1"/>
    <col min="12558" max="12564" width="0" style="3" hidden="1" customWidth="1"/>
    <col min="12565" max="12800" width="9.140625" style="3"/>
    <col min="12801" max="12801" width="19" style="3" customWidth="1"/>
    <col min="12802" max="12802" width="47.42578125" style="3" customWidth="1"/>
    <col min="12803" max="12803" width="0" style="3" hidden="1" customWidth="1"/>
    <col min="12804" max="12804" width="9.7109375" style="3" customWidth="1"/>
    <col min="12805" max="12805" width="10.7109375" style="3" customWidth="1"/>
    <col min="12806" max="12806" width="0" style="3" hidden="1" customWidth="1"/>
    <col min="12807" max="12807" width="10.7109375" style="3" customWidth="1"/>
    <col min="12808" max="12812" width="0" style="3" hidden="1" customWidth="1"/>
    <col min="12813" max="12813" width="11.28515625" style="3" customWidth="1"/>
    <col min="12814" max="12820" width="0" style="3" hidden="1" customWidth="1"/>
    <col min="12821" max="13056" width="9.140625" style="3"/>
    <col min="13057" max="13057" width="19" style="3" customWidth="1"/>
    <col min="13058" max="13058" width="47.42578125" style="3" customWidth="1"/>
    <col min="13059" max="13059" width="0" style="3" hidden="1" customWidth="1"/>
    <col min="13060" max="13060" width="9.7109375" style="3" customWidth="1"/>
    <col min="13061" max="13061" width="10.7109375" style="3" customWidth="1"/>
    <col min="13062" max="13062" width="0" style="3" hidden="1" customWidth="1"/>
    <col min="13063" max="13063" width="10.7109375" style="3" customWidth="1"/>
    <col min="13064" max="13068" width="0" style="3" hidden="1" customWidth="1"/>
    <col min="13069" max="13069" width="11.28515625" style="3" customWidth="1"/>
    <col min="13070" max="13076" width="0" style="3" hidden="1" customWidth="1"/>
    <col min="13077" max="13312" width="9.140625" style="3"/>
    <col min="13313" max="13313" width="19" style="3" customWidth="1"/>
    <col min="13314" max="13314" width="47.42578125" style="3" customWidth="1"/>
    <col min="13315" max="13315" width="0" style="3" hidden="1" customWidth="1"/>
    <col min="13316" max="13316" width="9.7109375" style="3" customWidth="1"/>
    <col min="13317" max="13317" width="10.7109375" style="3" customWidth="1"/>
    <col min="13318" max="13318" width="0" style="3" hidden="1" customWidth="1"/>
    <col min="13319" max="13319" width="10.7109375" style="3" customWidth="1"/>
    <col min="13320" max="13324" width="0" style="3" hidden="1" customWidth="1"/>
    <col min="13325" max="13325" width="11.28515625" style="3" customWidth="1"/>
    <col min="13326" max="13332" width="0" style="3" hidden="1" customWidth="1"/>
    <col min="13333" max="13568" width="9.140625" style="3"/>
    <col min="13569" max="13569" width="19" style="3" customWidth="1"/>
    <col min="13570" max="13570" width="47.42578125" style="3" customWidth="1"/>
    <col min="13571" max="13571" width="0" style="3" hidden="1" customWidth="1"/>
    <col min="13572" max="13572" width="9.7109375" style="3" customWidth="1"/>
    <col min="13573" max="13573" width="10.7109375" style="3" customWidth="1"/>
    <col min="13574" max="13574" width="0" style="3" hidden="1" customWidth="1"/>
    <col min="13575" max="13575" width="10.7109375" style="3" customWidth="1"/>
    <col min="13576" max="13580" width="0" style="3" hidden="1" customWidth="1"/>
    <col min="13581" max="13581" width="11.28515625" style="3" customWidth="1"/>
    <col min="13582" max="13588" width="0" style="3" hidden="1" customWidth="1"/>
    <col min="13589" max="13824" width="9.140625" style="3"/>
    <col min="13825" max="13825" width="19" style="3" customWidth="1"/>
    <col min="13826" max="13826" width="47.42578125" style="3" customWidth="1"/>
    <col min="13827" max="13827" width="0" style="3" hidden="1" customWidth="1"/>
    <col min="13828" max="13828" width="9.7109375" style="3" customWidth="1"/>
    <col min="13829" max="13829" width="10.7109375" style="3" customWidth="1"/>
    <col min="13830" max="13830" width="0" style="3" hidden="1" customWidth="1"/>
    <col min="13831" max="13831" width="10.7109375" style="3" customWidth="1"/>
    <col min="13832" max="13836" width="0" style="3" hidden="1" customWidth="1"/>
    <col min="13837" max="13837" width="11.28515625" style="3" customWidth="1"/>
    <col min="13838" max="13844" width="0" style="3" hidden="1" customWidth="1"/>
    <col min="13845" max="14080" width="9.140625" style="3"/>
    <col min="14081" max="14081" width="19" style="3" customWidth="1"/>
    <col min="14082" max="14082" width="47.42578125" style="3" customWidth="1"/>
    <col min="14083" max="14083" width="0" style="3" hidden="1" customWidth="1"/>
    <col min="14084" max="14084" width="9.7109375" style="3" customWidth="1"/>
    <col min="14085" max="14085" width="10.7109375" style="3" customWidth="1"/>
    <col min="14086" max="14086" width="0" style="3" hidden="1" customWidth="1"/>
    <col min="14087" max="14087" width="10.7109375" style="3" customWidth="1"/>
    <col min="14088" max="14092" width="0" style="3" hidden="1" customWidth="1"/>
    <col min="14093" max="14093" width="11.28515625" style="3" customWidth="1"/>
    <col min="14094" max="14100" width="0" style="3" hidden="1" customWidth="1"/>
    <col min="14101" max="14336" width="9.140625" style="3"/>
    <col min="14337" max="14337" width="19" style="3" customWidth="1"/>
    <col min="14338" max="14338" width="47.42578125" style="3" customWidth="1"/>
    <col min="14339" max="14339" width="0" style="3" hidden="1" customWidth="1"/>
    <col min="14340" max="14340" width="9.7109375" style="3" customWidth="1"/>
    <col min="14341" max="14341" width="10.7109375" style="3" customWidth="1"/>
    <col min="14342" max="14342" width="0" style="3" hidden="1" customWidth="1"/>
    <col min="14343" max="14343" width="10.7109375" style="3" customWidth="1"/>
    <col min="14344" max="14348" width="0" style="3" hidden="1" customWidth="1"/>
    <col min="14349" max="14349" width="11.28515625" style="3" customWidth="1"/>
    <col min="14350" max="14356" width="0" style="3" hidden="1" customWidth="1"/>
    <col min="14357" max="14592" width="9.140625" style="3"/>
    <col min="14593" max="14593" width="19" style="3" customWidth="1"/>
    <col min="14594" max="14594" width="47.42578125" style="3" customWidth="1"/>
    <col min="14595" max="14595" width="0" style="3" hidden="1" customWidth="1"/>
    <col min="14596" max="14596" width="9.7109375" style="3" customWidth="1"/>
    <col min="14597" max="14597" width="10.7109375" style="3" customWidth="1"/>
    <col min="14598" max="14598" width="0" style="3" hidden="1" customWidth="1"/>
    <col min="14599" max="14599" width="10.7109375" style="3" customWidth="1"/>
    <col min="14600" max="14604" width="0" style="3" hidden="1" customWidth="1"/>
    <col min="14605" max="14605" width="11.28515625" style="3" customWidth="1"/>
    <col min="14606" max="14612" width="0" style="3" hidden="1" customWidth="1"/>
    <col min="14613" max="14848" width="9.140625" style="3"/>
    <col min="14849" max="14849" width="19" style="3" customWidth="1"/>
    <col min="14850" max="14850" width="47.42578125" style="3" customWidth="1"/>
    <col min="14851" max="14851" width="0" style="3" hidden="1" customWidth="1"/>
    <col min="14852" max="14852" width="9.7109375" style="3" customWidth="1"/>
    <col min="14853" max="14853" width="10.7109375" style="3" customWidth="1"/>
    <col min="14854" max="14854" width="0" style="3" hidden="1" customWidth="1"/>
    <col min="14855" max="14855" width="10.7109375" style="3" customWidth="1"/>
    <col min="14856" max="14860" width="0" style="3" hidden="1" customWidth="1"/>
    <col min="14861" max="14861" width="11.28515625" style="3" customWidth="1"/>
    <col min="14862" max="14868" width="0" style="3" hidden="1" customWidth="1"/>
    <col min="14869" max="15104" width="9.140625" style="3"/>
    <col min="15105" max="15105" width="19" style="3" customWidth="1"/>
    <col min="15106" max="15106" width="47.42578125" style="3" customWidth="1"/>
    <col min="15107" max="15107" width="0" style="3" hidden="1" customWidth="1"/>
    <col min="15108" max="15108" width="9.7109375" style="3" customWidth="1"/>
    <col min="15109" max="15109" width="10.7109375" style="3" customWidth="1"/>
    <col min="15110" max="15110" width="0" style="3" hidden="1" customWidth="1"/>
    <col min="15111" max="15111" width="10.7109375" style="3" customWidth="1"/>
    <col min="15112" max="15116" width="0" style="3" hidden="1" customWidth="1"/>
    <col min="15117" max="15117" width="11.28515625" style="3" customWidth="1"/>
    <col min="15118" max="15124" width="0" style="3" hidden="1" customWidth="1"/>
    <col min="15125" max="15360" width="9.140625" style="3"/>
    <col min="15361" max="15361" width="19" style="3" customWidth="1"/>
    <col min="15362" max="15362" width="47.42578125" style="3" customWidth="1"/>
    <col min="15363" max="15363" width="0" style="3" hidden="1" customWidth="1"/>
    <col min="15364" max="15364" width="9.7109375" style="3" customWidth="1"/>
    <col min="15365" max="15365" width="10.7109375" style="3" customWidth="1"/>
    <col min="15366" max="15366" width="0" style="3" hidden="1" customWidth="1"/>
    <col min="15367" max="15367" width="10.7109375" style="3" customWidth="1"/>
    <col min="15368" max="15372" width="0" style="3" hidden="1" customWidth="1"/>
    <col min="15373" max="15373" width="11.28515625" style="3" customWidth="1"/>
    <col min="15374" max="15380" width="0" style="3" hidden="1" customWidth="1"/>
    <col min="15381" max="15616" width="9.140625" style="3"/>
    <col min="15617" max="15617" width="19" style="3" customWidth="1"/>
    <col min="15618" max="15618" width="47.42578125" style="3" customWidth="1"/>
    <col min="15619" max="15619" width="0" style="3" hidden="1" customWidth="1"/>
    <col min="15620" max="15620" width="9.7109375" style="3" customWidth="1"/>
    <col min="15621" max="15621" width="10.7109375" style="3" customWidth="1"/>
    <col min="15622" max="15622" width="0" style="3" hidden="1" customWidth="1"/>
    <col min="15623" max="15623" width="10.7109375" style="3" customWidth="1"/>
    <col min="15624" max="15628" width="0" style="3" hidden="1" customWidth="1"/>
    <col min="15629" max="15629" width="11.28515625" style="3" customWidth="1"/>
    <col min="15630" max="15636" width="0" style="3" hidden="1" customWidth="1"/>
    <col min="15637" max="15872" width="9.140625" style="3"/>
    <col min="15873" max="15873" width="19" style="3" customWidth="1"/>
    <col min="15874" max="15874" width="47.42578125" style="3" customWidth="1"/>
    <col min="15875" max="15875" width="0" style="3" hidden="1" customWidth="1"/>
    <col min="15876" max="15876" width="9.7109375" style="3" customWidth="1"/>
    <col min="15877" max="15877" width="10.7109375" style="3" customWidth="1"/>
    <col min="15878" max="15878" width="0" style="3" hidden="1" customWidth="1"/>
    <col min="15879" max="15879" width="10.7109375" style="3" customWidth="1"/>
    <col min="15880" max="15884" width="0" style="3" hidden="1" customWidth="1"/>
    <col min="15885" max="15885" width="11.28515625" style="3" customWidth="1"/>
    <col min="15886" max="15892" width="0" style="3" hidden="1" customWidth="1"/>
    <col min="15893" max="16128" width="9.140625" style="3"/>
    <col min="16129" max="16129" width="19" style="3" customWidth="1"/>
    <col min="16130" max="16130" width="47.42578125" style="3" customWidth="1"/>
    <col min="16131" max="16131" width="0" style="3" hidden="1" customWidth="1"/>
    <col min="16132" max="16132" width="9.7109375" style="3" customWidth="1"/>
    <col min="16133" max="16133" width="10.7109375" style="3" customWidth="1"/>
    <col min="16134" max="16134" width="0" style="3" hidden="1" customWidth="1"/>
    <col min="16135" max="16135" width="10.7109375" style="3" customWidth="1"/>
    <col min="16136" max="16140" width="0" style="3" hidden="1" customWidth="1"/>
    <col min="16141" max="16141" width="11.28515625" style="3" customWidth="1"/>
    <col min="16142" max="16148" width="0" style="3" hidden="1" customWidth="1"/>
    <col min="16149" max="16384" width="9.140625" style="3"/>
  </cols>
  <sheetData>
    <row r="1" spans="1:20" ht="33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</row>
    <row r="2" spans="1:20">
      <c r="A2" s="4"/>
      <c r="B2" s="5"/>
      <c r="C2" s="5"/>
      <c r="D2" s="5"/>
      <c r="E2" s="5"/>
      <c r="F2" s="5"/>
      <c r="G2" s="5"/>
      <c r="H2" s="5"/>
      <c r="I2" s="5"/>
      <c r="N2" s="7" t="s">
        <v>1</v>
      </c>
      <c r="O2" s="5"/>
      <c r="R2" s="5"/>
      <c r="T2" s="3"/>
    </row>
    <row r="3" spans="1:20" s="12" customFormat="1" ht="105" customHeight="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9" t="s">
        <v>10</v>
      </c>
      <c r="J3" s="8" t="s">
        <v>11</v>
      </c>
      <c r="K3" s="10" t="s">
        <v>12</v>
      </c>
      <c r="L3" s="9" t="s">
        <v>13</v>
      </c>
      <c r="M3" s="9" t="s">
        <v>14</v>
      </c>
      <c r="N3" s="11" t="s">
        <v>15</v>
      </c>
      <c r="O3" s="8" t="s">
        <v>16</v>
      </c>
      <c r="P3" s="8" t="s">
        <v>11</v>
      </c>
      <c r="Q3" s="10" t="s">
        <v>12</v>
      </c>
      <c r="R3" s="8" t="s">
        <v>17</v>
      </c>
      <c r="S3" s="8" t="s">
        <v>18</v>
      </c>
      <c r="T3" s="10" t="s">
        <v>12</v>
      </c>
    </row>
    <row r="4" spans="1:20">
      <c r="A4" s="13">
        <v>1</v>
      </c>
      <c r="B4" s="13">
        <v>2</v>
      </c>
      <c r="C4" s="13">
        <v>3</v>
      </c>
      <c r="D4" s="13">
        <v>3</v>
      </c>
      <c r="E4" s="13">
        <v>4</v>
      </c>
      <c r="F4" s="13">
        <v>5</v>
      </c>
      <c r="G4" s="13">
        <v>6</v>
      </c>
      <c r="H4" s="13">
        <v>8</v>
      </c>
      <c r="I4" s="14">
        <v>7</v>
      </c>
      <c r="J4" s="13">
        <v>8</v>
      </c>
      <c r="K4" s="13">
        <v>12</v>
      </c>
      <c r="L4" s="14">
        <v>8</v>
      </c>
      <c r="M4" s="14">
        <v>9</v>
      </c>
      <c r="N4" s="14">
        <v>10</v>
      </c>
      <c r="O4" s="13">
        <v>14</v>
      </c>
      <c r="P4" s="13">
        <v>15</v>
      </c>
      <c r="Q4" s="13">
        <v>16</v>
      </c>
      <c r="R4" s="13">
        <v>17</v>
      </c>
      <c r="S4" s="13">
        <v>18</v>
      </c>
      <c r="T4" s="13">
        <v>19</v>
      </c>
    </row>
    <row r="5" spans="1:20" ht="16.5">
      <c r="A5" s="15" t="s">
        <v>19</v>
      </c>
      <c r="B5" s="16" t="s">
        <v>20</v>
      </c>
      <c r="C5" s="17">
        <f>C6+C19</f>
        <v>511842.30000000005</v>
      </c>
      <c r="D5" s="17">
        <f>D6+D19</f>
        <v>459773.8</v>
      </c>
      <c r="E5" s="17">
        <f>E6+E19</f>
        <v>516198.80000000005</v>
      </c>
      <c r="F5" s="17">
        <f>F6+F19</f>
        <v>464206.3</v>
      </c>
      <c r="G5" s="17">
        <f>G6+G19</f>
        <v>529143.19999999995</v>
      </c>
      <c r="H5" s="18">
        <f>E5-G5</f>
        <v>-12944.399999999907</v>
      </c>
      <c r="I5" s="19"/>
      <c r="J5" s="18">
        <f>J6+J19</f>
        <v>590513.73600000003</v>
      </c>
      <c r="K5" s="20" t="e">
        <f>IF(#REF!=0,"0,0%",J5/#REF!)</f>
        <v>#REF!</v>
      </c>
      <c r="L5" s="21">
        <f>G5-E5</f>
        <v>12944.399999999907</v>
      </c>
      <c r="M5" s="22">
        <f>G5/E5</f>
        <v>1.025076385299617</v>
      </c>
      <c r="N5" s="17">
        <f>G5-F5</f>
        <v>64936.899999999965</v>
      </c>
      <c r="O5" s="18">
        <f>O6+O19</f>
        <v>480501.39999999997</v>
      </c>
      <c r="P5" s="18">
        <f>P6+P19</f>
        <v>480501.39999999997</v>
      </c>
      <c r="Q5" s="20">
        <f>IF(O5=0,"0,0%",P5/O5)</f>
        <v>1</v>
      </c>
      <c r="R5" s="18">
        <f>R6+R19</f>
        <v>506522.9</v>
      </c>
      <c r="S5" s="18">
        <f>S6+S19</f>
        <v>506522.9</v>
      </c>
      <c r="T5" s="20">
        <f>IF(R5=0,"0,0%",S5/R5)</f>
        <v>1</v>
      </c>
    </row>
    <row r="6" spans="1:20" ht="16.5">
      <c r="A6" s="15"/>
      <c r="B6" s="16" t="s">
        <v>21</v>
      </c>
      <c r="C6" s="17">
        <f t="shared" ref="C6:H6" si="0">C7+C9+C14+C16</f>
        <v>414004.4</v>
      </c>
      <c r="D6" s="17">
        <f t="shared" si="0"/>
        <v>386156.6</v>
      </c>
      <c r="E6" s="17">
        <f t="shared" si="0"/>
        <v>396127.9</v>
      </c>
      <c r="F6" s="17">
        <f t="shared" si="0"/>
        <v>370621</v>
      </c>
      <c r="G6" s="17">
        <f t="shared" si="0"/>
        <v>407042</v>
      </c>
      <c r="H6" s="18">
        <f t="shared" si="0"/>
        <v>-10914.100000000006</v>
      </c>
      <c r="I6" s="19"/>
      <c r="J6" s="18">
        <f>J7+J9+J14+J16</f>
        <v>512008.93599999999</v>
      </c>
      <c r="K6" s="20" t="e">
        <f>IF(#REF!=0,"0,0%",J6/#REF!)</f>
        <v>#REF!</v>
      </c>
      <c r="L6" s="21">
        <f t="shared" ref="L6:L69" si="1">G6-E6</f>
        <v>10914.099999999977</v>
      </c>
      <c r="M6" s="22">
        <f t="shared" ref="M6:M69" si="2">G6/E6</f>
        <v>1.0275519598594292</v>
      </c>
      <c r="N6" s="17">
        <f t="shared" ref="N6:N69" si="3">G6-F6</f>
        <v>36421</v>
      </c>
      <c r="O6" s="18">
        <f>O7+O14+O16</f>
        <v>410944.19999999995</v>
      </c>
      <c r="P6" s="18">
        <f>P7+P14+P16</f>
        <v>410944.19999999995</v>
      </c>
      <c r="Q6" s="20">
        <f t="shared" ref="Q6:Q48" si="4">IF(O6=0,"0,0%",P6/O6)</f>
        <v>1</v>
      </c>
      <c r="R6" s="18">
        <f>R7+R14+R16</f>
        <v>437242.9</v>
      </c>
      <c r="S6" s="18">
        <f>S7+S14+S16</f>
        <v>437242.9</v>
      </c>
      <c r="T6" s="20">
        <f t="shared" ref="T6:T48" si="5">IF(R6=0,"0,0%",S6/R6)</f>
        <v>1</v>
      </c>
    </row>
    <row r="7" spans="1:20" ht="16.5">
      <c r="A7" s="23" t="s">
        <v>22</v>
      </c>
      <c r="B7" s="16" t="s">
        <v>23</v>
      </c>
      <c r="C7" s="24">
        <f>SUM(C8)</f>
        <v>220814.6</v>
      </c>
      <c r="D7" s="24">
        <f>SUM(D8)</f>
        <v>199032.1</v>
      </c>
      <c r="E7" s="24">
        <f>SUM(E8)</f>
        <v>207813.4</v>
      </c>
      <c r="F7" s="24">
        <f>SUM(F8)</f>
        <v>194386.8</v>
      </c>
      <c r="G7" s="24">
        <f>SUM(G8)</f>
        <v>212957.8</v>
      </c>
      <c r="H7" s="25">
        <f t="shared" ref="H7:H91" si="6">E7-G7</f>
        <v>-5144.3999999999942</v>
      </c>
      <c r="I7" s="19"/>
      <c r="J7" s="25">
        <f t="shared" ref="J7:S7" si="7">SUM(J8)</f>
        <v>265915</v>
      </c>
      <c r="K7" s="20" t="e">
        <f>IF(#REF!=0,"0,0%",J7/#REF!)</f>
        <v>#REF!</v>
      </c>
      <c r="L7" s="21">
        <f t="shared" si="1"/>
        <v>5144.3999999999942</v>
      </c>
      <c r="M7" s="22">
        <f t="shared" si="2"/>
        <v>1.0247549003096046</v>
      </c>
      <c r="N7" s="17">
        <f t="shared" si="3"/>
        <v>18571</v>
      </c>
      <c r="O7" s="25">
        <f t="shared" si="7"/>
        <v>223617.9</v>
      </c>
      <c r="P7" s="25">
        <f t="shared" si="7"/>
        <v>223617.9</v>
      </c>
      <c r="Q7" s="20">
        <f t="shared" si="4"/>
        <v>1</v>
      </c>
      <c r="R7" s="25">
        <f t="shared" si="7"/>
        <v>249589.5</v>
      </c>
      <c r="S7" s="25">
        <f t="shared" si="7"/>
        <v>249589.5</v>
      </c>
      <c r="T7" s="20">
        <f t="shared" si="5"/>
        <v>1</v>
      </c>
    </row>
    <row r="8" spans="1:20" ht="16.5">
      <c r="A8" s="26" t="s">
        <v>24</v>
      </c>
      <c r="B8" s="27" t="s">
        <v>25</v>
      </c>
      <c r="C8" s="28">
        <v>220814.6</v>
      </c>
      <c r="D8" s="28">
        <v>199032.1</v>
      </c>
      <c r="E8" s="29">
        <v>207813.4</v>
      </c>
      <c r="F8" s="29">
        <v>194386.8</v>
      </c>
      <c r="G8" s="29">
        <v>212957.8</v>
      </c>
      <c r="H8" s="30">
        <f t="shared" si="6"/>
        <v>-5144.3999999999942</v>
      </c>
      <c r="I8" s="31"/>
      <c r="J8" s="30">
        <v>265915</v>
      </c>
      <c r="K8" s="32" t="e">
        <f>IF(#REF!=0,"0,0%",J8/#REF!)</f>
        <v>#REF!</v>
      </c>
      <c r="L8" s="21">
        <f t="shared" si="1"/>
        <v>5144.3999999999942</v>
      </c>
      <c r="M8" s="22">
        <f t="shared" si="2"/>
        <v>1.0247549003096046</v>
      </c>
      <c r="N8" s="17">
        <f t="shared" si="3"/>
        <v>18571</v>
      </c>
      <c r="O8" s="30">
        <v>223617.9</v>
      </c>
      <c r="P8" s="30">
        <v>223617.9</v>
      </c>
      <c r="Q8" s="32">
        <f t="shared" si="4"/>
        <v>1</v>
      </c>
      <c r="R8" s="30">
        <v>249589.5</v>
      </c>
      <c r="S8" s="30">
        <v>249589.5</v>
      </c>
      <c r="T8" s="32">
        <f t="shared" si="5"/>
        <v>1</v>
      </c>
    </row>
    <row r="9" spans="1:20" ht="49.5" hidden="1">
      <c r="A9" s="33" t="s">
        <v>26</v>
      </c>
      <c r="B9" s="34" t="s">
        <v>27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4"/>
      <c r="J9" s="25">
        <f>SUM(J10:J13)</f>
        <v>16120.235999999999</v>
      </c>
      <c r="K9" s="35" t="e">
        <f>IF(#REF!=0,"0,0%",J9/#REF!)</f>
        <v>#REF!</v>
      </c>
      <c r="L9" s="21">
        <f t="shared" si="1"/>
        <v>0</v>
      </c>
      <c r="M9" s="22" t="e">
        <f t="shared" si="2"/>
        <v>#DIV/0!</v>
      </c>
      <c r="N9" s="17">
        <f>G9-F9</f>
        <v>0</v>
      </c>
      <c r="O9" s="30"/>
      <c r="P9" s="30"/>
      <c r="Q9" s="32"/>
      <c r="R9" s="30"/>
      <c r="S9" s="30"/>
      <c r="T9" s="32"/>
    </row>
    <row r="10" spans="1:20" ht="99" hidden="1">
      <c r="A10" s="26" t="s">
        <v>28</v>
      </c>
      <c r="B10" s="36" t="s">
        <v>29</v>
      </c>
      <c r="C10" s="37">
        <v>0</v>
      </c>
      <c r="D10" s="37">
        <v>0</v>
      </c>
      <c r="E10" s="30">
        <v>0</v>
      </c>
      <c r="F10" s="30">
        <v>0</v>
      </c>
      <c r="G10" s="30">
        <v>0</v>
      </c>
      <c r="H10" s="30">
        <v>0</v>
      </c>
      <c r="I10" s="31"/>
      <c r="J10" s="30">
        <v>5899.97</v>
      </c>
      <c r="K10" s="32" t="e">
        <f>IF(#REF!=0,"0,0%",J10/#REF!)</f>
        <v>#REF!</v>
      </c>
      <c r="L10" s="21">
        <f t="shared" si="1"/>
        <v>0</v>
      </c>
      <c r="M10" s="22" t="e">
        <f t="shared" si="2"/>
        <v>#DIV/0!</v>
      </c>
      <c r="N10" s="17">
        <f t="shared" si="3"/>
        <v>0</v>
      </c>
      <c r="O10" s="30"/>
      <c r="P10" s="30"/>
      <c r="Q10" s="32"/>
      <c r="R10" s="30"/>
      <c r="S10" s="30"/>
      <c r="T10" s="32"/>
    </row>
    <row r="11" spans="1:20" ht="66" hidden="1">
      <c r="A11" s="26" t="s">
        <v>30</v>
      </c>
      <c r="B11" s="36" t="s">
        <v>31</v>
      </c>
      <c r="C11" s="37">
        <v>0</v>
      </c>
      <c r="D11" s="37">
        <v>0</v>
      </c>
      <c r="E11" s="30">
        <v>0</v>
      </c>
      <c r="F11" s="30">
        <v>0</v>
      </c>
      <c r="G11" s="30">
        <v>0</v>
      </c>
      <c r="H11" s="30">
        <v>0</v>
      </c>
      <c r="I11" s="31"/>
      <c r="J11" s="30">
        <v>122.298</v>
      </c>
      <c r="K11" s="32" t="e">
        <f>IF(#REF!=0,"0,0%",J11/#REF!)</f>
        <v>#REF!</v>
      </c>
      <c r="L11" s="21">
        <f t="shared" si="1"/>
        <v>0</v>
      </c>
      <c r="M11" s="22" t="e">
        <f t="shared" si="2"/>
        <v>#DIV/0!</v>
      </c>
      <c r="N11" s="17">
        <f t="shared" si="3"/>
        <v>0</v>
      </c>
      <c r="O11" s="30"/>
      <c r="P11" s="30"/>
      <c r="Q11" s="32"/>
      <c r="R11" s="30"/>
      <c r="S11" s="30"/>
      <c r="T11" s="32"/>
    </row>
    <row r="12" spans="1:20" ht="66" hidden="1">
      <c r="A12" s="26" t="s">
        <v>32</v>
      </c>
      <c r="B12" s="36" t="s">
        <v>33</v>
      </c>
      <c r="C12" s="37">
        <v>0</v>
      </c>
      <c r="D12" s="37">
        <v>0</v>
      </c>
      <c r="E12" s="30">
        <v>0</v>
      </c>
      <c r="F12" s="30">
        <v>0</v>
      </c>
      <c r="G12" s="30">
        <v>0</v>
      </c>
      <c r="H12" s="30">
        <v>0</v>
      </c>
      <c r="I12" s="31"/>
      <c r="J12" s="30">
        <v>9552.3439999999991</v>
      </c>
      <c r="K12" s="32" t="e">
        <f>IF(#REF!=0,"0,0%",J12/#REF!)</f>
        <v>#REF!</v>
      </c>
      <c r="L12" s="21">
        <f t="shared" si="1"/>
        <v>0</v>
      </c>
      <c r="M12" s="22" t="e">
        <f t="shared" si="2"/>
        <v>#DIV/0!</v>
      </c>
      <c r="N12" s="17">
        <f t="shared" si="3"/>
        <v>0</v>
      </c>
      <c r="O12" s="30"/>
      <c r="P12" s="30"/>
      <c r="Q12" s="32"/>
      <c r="R12" s="30"/>
      <c r="S12" s="30"/>
      <c r="T12" s="32"/>
    </row>
    <row r="13" spans="1:20" ht="66" hidden="1">
      <c r="A13" s="26" t="s">
        <v>34</v>
      </c>
      <c r="B13" s="36" t="s">
        <v>35</v>
      </c>
      <c r="C13" s="37">
        <v>0</v>
      </c>
      <c r="D13" s="37">
        <v>0</v>
      </c>
      <c r="E13" s="30">
        <v>0</v>
      </c>
      <c r="F13" s="30">
        <v>0</v>
      </c>
      <c r="G13" s="30">
        <v>0</v>
      </c>
      <c r="H13" s="30">
        <v>0</v>
      </c>
      <c r="I13" s="31"/>
      <c r="J13" s="30">
        <v>545.62400000000002</v>
      </c>
      <c r="K13" s="32" t="e">
        <f>IF(#REF!=0,"0,0%",J13/#REF!)</f>
        <v>#REF!</v>
      </c>
      <c r="L13" s="21">
        <f t="shared" si="1"/>
        <v>0</v>
      </c>
      <c r="M13" s="22" t="e">
        <f t="shared" si="2"/>
        <v>#DIV/0!</v>
      </c>
      <c r="N13" s="17">
        <f t="shared" si="3"/>
        <v>0</v>
      </c>
      <c r="O13" s="30"/>
      <c r="P13" s="30"/>
      <c r="Q13" s="32"/>
      <c r="R13" s="30"/>
      <c r="S13" s="30"/>
      <c r="T13" s="32"/>
    </row>
    <row r="14" spans="1:20" ht="16.5">
      <c r="A14" s="23" t="s">
        <v>36</v>
      </c>
      <c r="B14" s="16" t="s">
        <v>37</v>
      </c>
      <c r="C14" s="24">
        <f>SUM(C15)</f>
        <v>2883.1</v>
      </c>
      <c r="D14" s="24">
        <f>SUM(D15)</f>
        <v>2518.5</v>
      </c>
      <c r="E14" s="25">
        <f>SUM(E15)</f>
        <v>508.5</v>
      </c>
      <c r="F14" s="25">
        <f>SUM(F15)</f>
        <v>2776.8</v>
      </c>
      <c r="G14" s="25">
        <f>SUM(G15)</f>
        <v>510.5</v>
      </c>
      <c r="H14" s="24">
        <f t="shared" si="6"/>
        <v>-2</v>
      </c>
      <c r="I14" s="19"/>
      <c r="J14" s="25">
        <f t="shared" ref="J14:S14" si="8">SUM(J15)</f>
        <v>671</v>
      </c>
      <c r="K14" s="20" t="e">
        <f>IF(#REF!=0,"0,0%",J14/#REF!)</f>
        <v>#REF!</v>
      </c>
      <c r="L14" s="21">
        <f t="shared" si="1"/>
        <v>2</v>
      </c>
      <c r="M14" s="22">
        <f t="shared" si="2"/>
        <v>1.0039331366764994</v>
      </c>
      <c r="N14" s="17">
        <f t="shared" si="3"/>
        <v>-2266.3000000000002</v>
      </c>
      <c r="O14" s="25">
        <f t="shared" si="8"/>
        <v>2770.3</v>
      </c>
      <c r="P14" s="25">
        <f t="shared" si="8"/>
        <v>2770.3</v>
      </c>
      <c r="Q14" s="20">
        <f t="shared" si="4"/>
        <v>1</v>
      </c>
      <c r="R14" s="25">
        <f t="shared" si="8"/>
        <v>3047.4</v>
      </c>
      <c r="S14" s="25">
        <f t="shared" si="8"/>
        <v>3047.4</v>
      </c>
      <c r="T14" s="20">
        <f t="shared" si="5"/>
        <v>1</v>
      </c>
    </row>
    <row r="15" spans="1:20" ht="16.5">
      <c r="A15" s="38" t="s">
        <v>38</v>
      </c>
      <c r="B15" s="39" t="s">
        <v>39</v>
      </c>
      <c r="C15" s="37">
        <v>2883.1</v>
      </c>
      <c r="D15" s="37">
        <v>2518.5</v>
      </c>
      <c r="E15" s="30">
        <v>508.5</v>
      </c>
      <c r="F15" s="30">
        <v>2776.8</v>
      </c>
      <c r="G15" s="30">
        <v>510.5</v>
      </c>
      <c r="H15" s="30">
        <f t="shared" si="6"/>
        <v>-2</v>
      </c>
      <c r="I15" s="31"/>
      <c r="J15" s="30">
        <v>671</v>
      </c>
      <c r="K15" s="32" t="e">
        <f>IF(#REF!=0,"0,0%",J15/#REF!)</f>
        <v>#REF!</v>
      </c>
      <c r="L15" s="21">
        <f t="shared" si="1"/>
        <v>2</v>
      </c>
      <c r="M15" s="22">
        <f t="shared" si="2"/>
        <v>1.0039331366764994</v>
      </c>
      <c r="N15" s="17">
        <f t="shared" si="3"/>
        <v>-2266.3000000000002</v>
      </c>
      <c r="O15" s="30">
        <v>2770.3</v>
      </c>
      <c r="P15" s="30">
        <v>2770.3</v>
      </c>
      <c r="Q15" s="32">
        <f t="shared" si="4"/>
        <v>1</v>
      </c>
      <c r="R15" s="30">
        <v>3047.4</v>
      </c>
      <c r="S15" s="30">
        <v>3047.4</v>
      </c>
      <c r="T15" s="32">
        <f t="shared" si="5"/>
        <v>1</v>
      </c>
    </row>
    <row r="16" spans="1:20" ht="16.5">
      <c r="A16" s="23" t="s">
        <v>40</v>
      </c>
      <c r="B16" s="16" t="s">
        <v>41</v>
      </c>
      <c r="C16" s="24">
        <f>SUM(C17:C18)</f>
        <v>190306.7</v>
      </c>
      <c r="D16" s="24">
        <f>SUM(D17:D18)</f>
        <v>184606</v>
      </c>
      <c r="E16" s="25">
        <f>SUM(E17:E18)</f>
        <v>187806</v>
      </c>
      <c r="F16" s="25">
        <f>SUM(F17:F18)</f>
        <v>173457.4</v>
      </c>
      <c r="G16" s="25">
        <f>SUM(G17:G18)</f>
        <v>193573.7</v>
      </c>
      <c r="H16" s="25">
        <f t="shared" si="6"/>
        <v>-5767.7000000000116</v>
      </c>
      <c r="I16" s="19"/>
      <c r="J16" s="25">
        <f t="shared" ref="J16:S16" si="9">SUM(J17:J18)</f>
        <v>229302.7</v>
      </c>
      <c r="K16" s="20" t="e">
        <f>IF(#REF!=0,"0,0%",J16/#REF!)</f>
        <v>#REF!</v>
      </c>
      <c r="L16" s="21">
        <f t="shared" si="1"/>
        <v>5767.7000000000116</v>
      </c>
      <c r="M16" s="22">
        <f t="shared" si="2"/>
        <v>1.0307109464021385</v>
      </c>
      <c r="N16" s="17">
        <f t="shared" si="3"/>
        <v>20116.300000000017</v>
      </c>
      <c r="O16" s="25">
        <f t="shared" si="9"/>
        <v>184556</v>
      </c>
      <c r="P16" s="25">
        <f t="shared" si="9"/>
        <v>184556</v>
      </c>
      <c r="Q16" s="20">
        <f t="shared" si="4"/>
        <v>1</v>
      </c>
      <c r="R16" s="25">
        <f t="shared" si="9"/>
        <v>184606</v>
      </c>
      <c r="S16" s="25">
        <f t="shared" si="9"/>
        <v>184606</v>
      </c>
      <c r="T16" s="20">
        <f t="shared" si="5"/>
        <v>1</v>
      </c>
    </row>
    <row r="17" spans="1:20" ht="16.5">
      <c r="A17" s="13" t="s">
        <v>42</v>
      </c>
      <c r="B17" s="40" t="s">
        <v>43</v>
      </c>
      <c r="C17" s="30">
        <v>58543.1</v>
      </c>
      <c r="D17" s="30">
        <v>64806</v>
      </c>
      <c r="E17" s="30">
        <v>64806</v>
      </c>
      <c r="F17" s="30">
        <v>52314.400000000001</v>
      </c>
      <c r="G17" s="30">
        <v>66316.2</v>
      </c>
      <c r="H17" s="30">
        <f t="shared" si="6"/>
        <v>-1510.1999999999971</v>
      </c>
      <c r="I17" s="31"/>
      <c r="J17" s="30">
        <v>77758</v>
      </c>
      <c r="K17" s="32" t="e">
        <f>IF(#REF!=0,"0,0%",J17/#REF!)</f>
        <v>#REF!</v>
      </c>
      <c r="L17" s="21">
        <f t="shared" si="1"/>
        <v>1510.1999999999971</v>
      </c>
      <c r="M17" s="22">
        <f t="shared" si="2"/>
        <v>1.023303397833534</v>
      </c>
      <c r="N17" s="17">
        <f t="shared" si="3"/>
        <v>14001.799999999996</v>
      </c>
      <c r="O17" s="30">
        <v>64806</v>
      </c>
      <c r="P17" s="30">
        <v>64806</v>
      </c>
      <c r="Q17" s="32">
        <f t="shared" si="4"/>
        <v>1</v>
      </c>
      <c r="R17" s="30">
        <v>64806</v>
      </c>
      <c r="S17" s="30">
        <v>64806</v>
      </c>
      <c r="T17" s="32">
        <f t="shared" si="5"/>
        <v>1</v>
      </c>
    </row>
    <row r="18" spans="1:20" ht="16.5">
      <c r="A18" s="26" t="s">
        <v>44</v>
      </c>
      <c r="B18" s="39" t="s">
        <v>45</v>
      </c>
      <c r="C18" s="37">
        <v>131763.6</v>
      </c>
      <c r="D18" s="37">
        <v>119800</v>
      </c>
      <c r="E18" s="30">
        <v>123000</v>
      </c>
      <c r="F18" s="30">
        <v>121143</v>
      </c>
      <c r="G18" s="30">
        <v>127257.5</v>
      </c>
      <c r="H18" s="30">
        <f t="shared" si="6"/>
        <v>-4257.5</v>
      </c>
      <c r="I18" s="31"/>
      <c r="J18" s="30">
        <v>151544.70000000001</v>
      </c>
      <c r="K18" s="32" t="e">
        <f>IF(#REF!=0,"0,0%",J18/#REF!)</f>
        <v>#REF!</v>
      </c>
      <c r="L18" s="21">
        <f t="shared" si="1"/>
        <v>4257.5</v>
      </c>
      <c r="M18" s="22">
        <f t="shared" si="2"/>
        <v>1.0346138211382114</v>
      </c>
      <c r="N18" s="17">
        <f t="shared" si="3"/>
        <v>6114.5</v>
      </c>
      <c r="O18" s="30">
        <v>119750</v>
      </c>
      <c r="P18" s="30">
        <v>119750</v>
      </c>
      <c r="Q18" s="32">
        <f t="shared" si="4"/>
        <v>1</v>
      </c>
      <c r="R18" s="30">
        <v>119800</v>
      </c>
      <c r="S18" s="30">
        <v>119800</v>
      </c>
      <c r="T18" s="32">
        <f t="shared" si="5"/>
        <v>1</v>
      </c>
    </row>
    <row r="19" spans="1:20" ht="16.5">
      <c r="A19" s="23"/>
      <c r="B19" s="16" t="s">
        <v>46</v>
      </c>
      <c r="C19" s="24">
        <f>C20+C26+C30+C25</f>
        <v>97837.9</v>
      </c>
      <c r="D19" s="24">
        <f>D20+D26+D30+D25</f>
        <v>73617.2</v>
      </c>
      <c r="E19" s="24">
        <f>E20+E26+E30+E25</f>
        <v>120070.9</v>
      </c>
      <c r="F19" s="24">
        <f>F20+F26+F30+F25</f>
        <v>93585.3</v>
      </c>
      <c r="G19" s="24">
        <f>G20+G26+G30</f>
        <v>122101.2</v>
      </c>
      <c r="H19" s="25">
        <f t="shared" si="6"/>
        <v>-2030.3000000000029</v>
      </c>
      <c r="I19" s="19"/>
      <c r="J19" s="25">
        <f>J20+J26+J30+J25</f>
        <v>78504.800000000003</v>
      </c>
      <c r="K19" s="20" t="e">
        <f>IF(#REF!=0,"0,0%",J19/#REF!)</f>
        <v>#REF!</v>
      </c>
      <c r="L19" s="21">
        <f t="shared" si="1"/>
        <v>2030.3000000000029</v>
      </c>
      <c r="M19" s="22">
        <f t="shared" si="2"/>
        <v>1.016909176161751</v>
      </c>
      <c r="N19" s="17">
        <f t="shared" si="3"/>
        <v>28515.899999999994</v>
      </c>
      <c r="O19" s="25">
        <f>O20+O26+O30</f>
        <v>69557.2</v>
      </c>
      <c r="P19" s="25">
        <f>P20+P26+P30</f>
        <v>69557.2</v>
      </c>
      <c r="Q19" s="20">
        <f t="shared" si="4"/>
        <v>1</v>
      </c>
      <c r="R19" s="25">
        <f>R20+R26+R30</f>
        <v>69280</v>
      </c>
      <c r="S19" s="25">
        <f>S20+S26+S30</f>
        <v>69280</v>
      </c>
      <c r="T19" s="20">
        <f t="shared" si="5"/>
        <v>1</v>
      </c>
    </row>
    <row r="20" spans="1:20" ht="49.5">
      <c r="A20" s="23" t="s">
        <v>47</v>
      </c>
      <c r="B20" s="16" t="s">
        <v>48</v>
      </c>
      <c r="C20" s="24">
        <f>SUM(C21:C24)</f>
        <v>82957.900000000009</v>
      </c>
      <c r="D20" s="24">
        <f>SUM(D21:D24)</f>
        <v>61625.9</v>
      </c>
      <c r="E20" s="24">
        <f>SUM(E21:E24)</f>
        <v>89766.400000000009</v>
      </c>
      <c r="F20" s="24">
        <f>SUM(F21:F24)</f>
        <v>79416</v>
      </c>
      <c r="G20" s="24">
        <f>SUM(G21:G24)</f>
        <v>91390.099999999991</v>
      </c>
      <c r="H20" s="25">
        <f t="shared" si="6"/>
        <v>-1623.6999999999825</v>
      </c>
      <c r="I20" s="19"/>
      <c r="J20" s="25">
        <f>SUM(J21:J24)</f>
        <v>69987</v>
      </c>
      <c r="K20" s="20" t="e">
        <f>IF(#REF!=0,"0,0%",J20/#REF!)</f>
        <v>#REF!</v>
      </c>
      <c r="L20" s="21">
        <f t="shared" si="1"/>
        <v>1623.6999999999825</v>
      </c>
      <c r="M20" s="22">
        <f t="shared" si="2"/>
        <v>1.0180880596748894</v>
      </c>
      <c r="N20" s="17">
        <f t="shared" si="3"/>
        <v>11974.099999999991</v>
      </c>
      <c r="O20" s="25">
        <f>SUM(O21:O24)</f>
        <v>57744.6</v>
      </c>
      <c r="P20" s="25">
        <f>SUM(P21:P24)</f>
        <v>57744.6</v>
      </c>
      <c r="Q20" s="20">
        <f t="shared" si="4"/>
        <v>1</v>
      </c>
      <c r="R20" s="25">
        <f>SUM(R21:R24)</f>
        <v>57573</v>
      </c>
      <c r="S20" s="25">
        <f>SUM(S21:S24)</f>
        <v>57573</v>
      </c>
      <c r="T20" s="20">
        <f t="shared" si="5"/>
        <v>1</v>
      </c>
    </row>
    <row r="21" spans="1:20" ht="82.5">
      <c r="A21" s="26" t="s">
        <v>49</v>
      </c>
      <c r="B21" s="36" t="s">
        <v>50</v>
      </c>
      <c r="C21" s="37">
        <v>76304.100000000006</v>
      </c>
      <c r="D21" s="37">
        <v>55850</v>
      </c>
      <c r="E21" s="30">
        <v>83650</v>
      </c>
      <c r="F21" s="30">
        <v>73270</v>
      </c>
      <c r="G21" s="30">
        <v>85147.7</v>
      </c>
      <c r="H21" s="30">
        <f t="shared" si="6"/>
        <v>-1497.6999999999971</v>
      </c>
      <c r="I21" s="31"/>
      <c r="J21" s="30">
        <v>64250</v>
      </c>
      <c r="K21" s="32" t="e">
        <f>IF(#REF!=0,"0,0%",J21/#REF!)</f>
        <v>#REF!</v>
      </c>
      <c r="L21" s="21">
        <f t="shared" si="1"/>
        <v>1497.6999999999971</v>
      </c>
      <c r="M21" s="22">
        <f t="shared" si="2"/>
        <v>1.0179043634190077</v>
      </c>
      <c r="N21" s="17">
        <f t="shared" si="3"/>
        <v>11877.699999999997</v>
      </c>
      <c r="O21" s="30">
        <v>55850</v>
      </c>
      <c r="P21" s="30">
        <v>55850</v>
      </c>
      <c r="Q21" s="32">
        <f t="shared" si="4"/>
        <v>1</v>
      </c>
      <c r="R21" s="30">
        <v>55850</v>
      </c>
      <c r="S21" s="30">
        <v>55850</v>
      </c>
      <c r="T21" s="32">
        <f t="shared" si="5"/>
        <v>1</v>
      </c>
    </row>
    <row r="22" spans="1:20" ht="49.5">
      <c r="A22" s="38" t="s">
        <v>51</v>
      </c>
      <c r="B22" s="36" t="s">
        <v>52</v>
      </c>
      <c r="C22" s="41">
        <v>3907.7</v>
      </c>
      <c r="D22" s="41">
        <v>3681</v>
      </c>
      <c r="E22" s="30">
        <v>3681</v>
      </c>
      <c r="F22" s="30">
        <v>3697.4</v>
      </c>
      <c r="G22" s="30">
        <v>3806.9</v>
      </c>
      <c r="H22" s="30">
        <f t="shared" si="6"/>
        <v>-125.90000000000009</v>
      </c>
      <c r="I22" s="31"/>
      <c r="J22" s="30">
        <v>3786.5</v>
      </c>
      <c r="K22" s="32" t="e">
        <f>IF(#REF!=0,"0,0%",J22/#REF!)</f>
        <v>#REF!</v>
      </c>
      <c r="L22" s="21">
        <f t="shared" si="1"/>
        <v>125.90000000000009</v>
      </c>
      <c r="M22" s="22">
        <f t="shared" si="2"/>
        <v>1.0342026623200218</v>
      </c>
      <c r="N22" s="17">
        <f t="shared" si="3"/>
        <v>109.5</v>
      </c>
      <c r="O22" s="30"/>
      <c r="P22" s="30"/>
      <c r="Q22" s="32"/>
      <c r="R22" s="30"/>
      <c r="S22" s="30"/>
      <c r="T22" s="32"/>
    </row>
    <row r="23" spans="1:20" ht="66">
      <c r="A23" s="38" t="s">
        <v>53</v>
      </c>
      <c r="B23" s="36" t="s">
        <v>54</v>
      </c>
      <c r="C23" s="41">
        <v>471.8</v>
      </c>
      <c r="D23" s="41">
        <v>272.3</v>
      </c>
      <c r="E23" s="30">
        <v>762.8</v>
      </c>
      <c r="F23" s="30">
        <v>471.8</v>
      </c>
      <c r="G23" s="30">
        <v>762.8</v>
      </c>
      <c r="H23" s="30">
        <f t="shared" si="6"/>
        <v>0</v>
      </c>
      <c r="I23" s="31"/>
      <c r="J23" s="30">
        <v>0</v>
      </c>
      <c r="K23" s="32" t="e">
        <f>IF(#REF!=0,"0,0%",J23/#REF!)</f>
        <v>#REF!</v>
      </c>
      <c r="L23" s="21">
        <f t="shared" si="1"/>
        <v>0</v>
      </c>
      <c r="M23" s="22">
        <f t="shared" si="2"/>
        <v>1</v>
      </c>
      <c r="N23" s="17">
        <f t="shared" si="3"/>
        <v>290.99999999999994</v>
      </c>
      <c r="O23" s="30">
        <v>285.89999999999998</v>
      </c>
      <c r="P23" s="30">
        <v>285.89999999999998</v>
      </c>
      <c r="Q23" s="32">
        <f t="shared" si="4"/>
        <v>1</v>
      </c>
      <c r="R23" s="30">
        <v>297.7</v>
      </c>
      <c r="S23" s="30">
        <v>297.7</v>
      </c>
      <c r="T23" s="32">
        <f t="shared" si="5"/>
        <v>1</v>
      </c>
    </row>
    <row r="24" spans="1:20" ht="115.5">
      <c r="A24" s="42" t="s">
        <v>55</v>
      </c>
      <c r="B24" s="43" t="s">
        <v>56</v>
      </c>
      <c r="C24" s="41">
        <v>2274.3000000000002</v>
      </c>
      <c r="D24" s="41">
        <v>1822.6</v>
      </c>
      <c r="E24" s="30">
        <v>1672.6</v>
      </c>
      <c r="F24" s="30">
        <v>1976.8</v>
      </c>
      <c r="G24" s="30">
        <v>1672.7</v>
      </c>
      <c r="H24" s="30">
        <f t="shared" si="6"/>
        <v>-0.10000000000013642</v>
      </c>
      <c r="I24" s="31"/>
      <c r="J24" s="30">
        <v>1950.5</v>
      </c>
      <c r="K24" s="32" t="e">
        <f>IF(#REF!=0,"0,0%",J24/#REF!)</f>
        <v>#REF!</v>
      </c>
      <c r="L24" s="21">
        <f t="shared" si="1"/>
        <v>0.10000000000013642</v>
      </c>
      <c r="M24" s="22">
        <f t="shared" si="2"/>
        <v>1.0000597871577186</v>
      </c>
      <c r="N24" s="17">
        <f t="shared" si="3"/>
        <v>-304.09999999999991</v>
      </c>
      <c r="O24" s="30">
        <v>1608.7</v>
      </c>
      <c r="P24" s="30">
        <v>1608.7</v>
      </c>
      <c r="Q24" s="32">
        <f t="shared" si="4"/>
        <v>1</v>
      </c>
      <c r="R24" s="30">
        <v>1425.3</v>
      </c>
      <c r="S24" s="30">
        <v>1425.3</v>
      </c>
      <c r="T24" s="32">
        <f t="shared" si="5"/>
        <v>1</v>
      </c>
    </row>
    <row r="25" spans="1:20" ht="16.5">
      <c r="A25" s="44" t="s">
        <v>57</v>
      </c>
      <c r="B25" s="45" t="s">
        <v>58</v>
      </c>
      <c r="C25" s="46">
        <v>91.9</v>
      </c>
      <c r="D25" s="47">
        <v>0</v>
      </c>
      <c r="E25" s="48">
        <v>0</v>
      </c>
      <c r="F25" s="48">
        <v>0</v>
      </c>
      <c r="G25" s="48">
        <v>0</v>
      </c>
      <c r="H25" s="48">
        <f t="shared" si="6"/>
        <v>0</v>
      </c>
      <c r="I25" s="31"/>
      <c r="J25" s="48"/>
      <c r="K25" s="32" t="e">
        <f>IF(#REF!=0,"0,0%",J25/#REF!)</f>
        <v>#REF!</v>
      </c>
      <c r="L25" s="21">
        <f t="shared" si="1"/>
        <v>0</v>
      </c>
      <c r="M25" s="22" t="e">
        <f t="shared" si="2"/>
        <v>#DIV/0!</v>
      </c>
      <c r="N25" s="17">
        <f t="shared" si="3"/>
        <v>0</v>
      </c>
      <c r="O25" s="30"/>
      <c r="P25" s="30"/>
      <c r="Q25" s="32"/>
      <c r="R25" s="30"/>
      <c r="S25" s="30"/>
      <c r="T25" s="32"/>
    </row>
    <row r="26" spans="1:20" ht="33">
      <c r="A26" s="49" t="s">
        <v>59</v>
      </c>
      <c r="B26" s="50" t="s">
        <v>60</v>
      </c>
      <c r="C26" s="24">
        <f>SUM(C27:C29)</f>
        <v>14788.099999999999</v>
      </c>
      <c r="D26" s="24">
        <f>SUM(D27:D29)</f>
        <v>11931.3</v>
      </c>
      <c r="E26" s="25">
        <f>SUM(E27:E29)</f>
        <v>29701.1</v>
      </c>
      <c r="F26" s="25">
        <f>SUM(F27:F29)</f>
        <v>14169.3</v>
      </c>
      <c r="G26" s="25">
        <f>SUM(G27:G29)</f>
        <v>30104.400000000001</v>
      </c>
      <c r="H26" s="25">
        <f t="shared" si="6"/>
        <v>-403.30000000000291</v>
      </c>
      <c r="I26" s="19"/>
      <c r="J26" s="25">
        <f>SUM(J27:J28)</f>
        <v>8497.7999999999993</v>
      </c>
      <c r="K26" s="20" t="e">
        <f>IF(#REF!=0,"0,0%",J26/#REF!)</f>
        <v>#REF!</v>
      </c>
      <c r="L26" s="21">
        <f t="shared" si="1"/>
        <v>403.30000000000291</v>
      </c>
      <c r="M26" s="22">
        <f t="shared" si="2"/>
        <v>1.0135786216672111</v>
      </c>
      <c r="N26" s="17">
        <f t="shared" si="3"/>
        <v>15935.100000000002</v>
      </c>
      <c r="O26" s="25">
        <f>SUM(O27:O28)</f>
        <v>11742.6</v>
      </c>
      <c r="P26" s="25">
        <f>SUM(P27:P28)</f>
        <v>11742.6</v>
      </c>
      <c r="Q26" s="20">
        <f t="shared" si="4"/>
        <v>1</v>
      </c>
      <c r="R26" s="25">
        <f>SUM(R27:R28)</f>
        <v>11627</v>
      </c>
      <c r="S26" s="25">
        <f>SUM(S27:S28)</f>
        <v>11627</v>
      </c>
      <c r="T26" s="20">
        <f t="shared" si="5"/>
        <v>1</v>
      </c>
    </row>
    <row r="27" spans="1:20" ht="115.5">
      <c r="A27" s="51" t="s">
        <v>61</v>
      </c>
      <c r="B27" s="52" t="s">
        <v>62</v>
      </c>
      <c r="C27" s="53">
        <v>5968.2</v>
      </c>
      <c r="D27" s="53">
        <v>2006.3</v>
      </c>
      <c r="E27" s="54">
        <v>10971.5</v>
      </c>
      <c r="F27" s="54">
        <v>5922.8</v>
      </c>
      <c r="G27" s="54">
        <v>11243.3</v>
      </c>
      <c r="H27" s="54">
        <f t="shared" si="6"/>
        <v>-271.79999999999927</v>
      </c>
      <c r="I27" s="31"/>
      <c r="J27" s="30">
        <v>2272.8000000000002</v>
      </c>
      <c r="K27" s="32" t="e">
        <f>IF(#REF!=0,"0,0%",J27/#REF!)</f>
        <v>#REF!</v>
      </c>
      <c r="L27" s="21">
        <f t="shared" si="1"/>
        <v>271.79999999999927</v>
      </c>
      <c r="M27" s="22">
        <f t="shared" si="2"/>
        <v>1.0247732762156496</v>
      </c>
      <c r="N27" s="17">
        <f t="shared" si="3"/>
        <v>5320.4999999999991</v>
      </c>
      <c r="O27" s="30">
        <v>1817.6</v>
      </c>
      <c r="P27" s="30">
        <v>1817.6</v>
      </c>
      <c r="Q27" s="32">
        <f t="shared" si="4"/>
        <v>1</v>
      </c>
      <c r="R27" s="30">
        <v>1702</v>
      </c>
      <c r="S27" s="30">
        <v>1702</v>
      </c>
      <c r="T27" s="32">
        <f t="shared" si="5"/>
        <v>1</v>
      </c>
    </row>
    <row r="28" spans="1:20" ht="49.5">
      <c r="A28" s="51" t="s">
        <v>63</v>
      </c>
      <c r="B28" s="52" t="s">
        <v>64</v>
      </c>
      <c r="C28" s="41">
        <v>6142.4</v>
      </c>
      <c r="D28" s="41">
        <v>9925</v>
      </c>
      <c r="E28" s="30">
        <v>7525</v>
      </c>
      <c r="F28" s="30">
        <v>5569</v>
      </c>
      <c r="G28" s="30">
        <v>7500.1</v>
      </c>
      <c r="H28" s="30">
        <f t="shared" si="6"/>
        <v>24.899999999999636</v>
      </c>
      <c r="I28" s="31"/>
      <c r="J28" s="55">
        <v>6225</v>
      </c>
      <c r="K28" s="32" t="e">
        <f>IF(#REF!=0,"0,0%",J28/#REF!)</f>
        <v>#REF!</v>
      </c>
      <c r="L28" s="21">
        <f t="shared" si="1"/>
        <v>-24.899999999999636</v>
      </c>
      <c r="M28" s="22">
        <f t="shared" si="2"/>
        <v>0.99669102990033231</v>
      </c>
      <c r="N28" s="17">
        <f t="shared" si="3"/>
        <v>1931.1000000000004</v>
      </c>
      <c r="O28" s="30">
        <v>9925</v>
      </c>
      <c r="P28" s="55">
        <v>9925</v>
      </c>
      <c r="Q28" s="32">
        <f t="shared" si="4"/>
        <v>1</v>
      </c>
      <c r="R28" s="30">
        <v>9925</v>
      </c>
      <c r="S28" s="55">
        <v>9925</v>
      </c>
      <c r="T28" s="32">
        <f t="shared" si="5"/>
        <v>1</v>
      </c>
    </row>
    <row r="29" spans="1:20" ht="66">
      <c r="A29" s="51" t="s">
        <v>65</v>
      </c>
      <c r="B29" s="52" t="s">
        <v>66</v>
      </c>
      <c r="C29" s="41">
        <v>2677.5</v>
      </c>
      <c r="D29" s="41">
        <v>0</v>
      </c>
      <c r="E29" s="30">
        <v>11204.6</v>
      </c>
      <c r="F29" s="30">
        <v>2677.5</v>
      </c>
      <c r="G29" s="30">
        <v>11361</v>
      </c>
      <c r="H29" s="30">
        <f t="shared" si="6"/>
        <v>-156.39999999999964</v>
      </c>
      <c r="I29" s="31"/>
      <c r="J29" s="55">
        <v>0</v>
      </c>
      <c r="K29" s="32" t="e">
        <f>IF(#REF!=0,"0,0%",J29/#REF!)</f>
        <v>#REF!</v>
      </c>
      <c r="L29" s="21">
        <f t="shared" si="1"/>
        <v>156.39999999999964</v>
      </c>
      <c r="M29" s="22">
        <f t="shared" si="2"/>
        <v>1.0139585527372685</v>
      </c>
      <c r="N29" s="17">
        <f t="shared" si="3"/>
        <v>8683.5</v>
      </c>
      <c r="O29" s="30"/>
      <c r="P29" s="55"/>
      <c r="Q29" s="32"/>
      <c r="R29" s="30"/>
      <c r="S29" s="55"/>
      <c r="T29" s="32"/>
    </row>
    <row r="30" spans="1:20" s="61" customFormat="1" ht="16.5">
      <c r="A30" s="56" t="s">
        <v>67</v>
      </c>
      <c r="B30" s="57" t="s">
        <v>68</v>
      </c>
      <c r="C30" s="58">
        <f t="shared" ref="C30:H30" si="10">SUM(C31:C32)</f>
        <v>0</v>
      </c>
      <c r="D30" s="58">
        <f t="shared" si="10"/>
        <v>60</v>
      </c>
      <c r="E30" s="59">
        <f t="shared" si="10"/>
        <v>603.4</v>
      </c>
      <c r="F30" s="59">
        <f t="shared" si="10"/>
        <v>0</v>
      </c>
      <c r="G30" s="59">
        <f t="shared" si="10"/>
        <v>606.70000000000005</v>
      </c>
      <c r="H30" s="59">
        <f t="shared" si="10"/>
        <v>-3.3000000000000682</v>
      </c>
      <c r="I30" s="19"/>
      <c r="J30" s="60">
        <f>SUM(J31:J32)</f>
        <v>20</v>
      </c>
      <c r="K30" s="20" t="e">
        <f>IF(#REF!=0,"0,0%",J30/#REF!)</f>
        <v>#REF!</v>
      </c>
      <c r="L30" s="21">
        <f t="shared" si="1"/>
        <v>3.3000000000000682</v>
      </c>
      <c r="M30" s="22">
        <f t="shared" si="2"/>
        <v>1.0054690089492875</v>
      </c>
      <c r="N30" s="17">
        <f t="shared" si="3"/>
        <v>606.70000000000005</v>
      </c>
      <c r="O30" s="60">
        <f>O32</f>
        <v>70</v>
      </c>
      <c r="P30" s="60">
        <f>P32</f>
        <v>70</v>
      </c>
      <c r="Q30" s="20">
        <f t="shared" si="4"/>
        <v>1</v>
      </c>
      <c r="R30" s="60">
        <f>R32</f>
        <v>80</v>
      </c>
      <c r="S30" s="60">
        <f>S32</f>
        <v>80</v>
      </c>
      <c r="T30" s="20">
        <f t="shared" si="5"/>
        <v>1</v>
      </c>
    </row>
    <row r="31" spans="1:20" ht="66">
      <c r="A31" s="51" t="s">
        <v>69</v>
      </c>
      <c r="B31" s="52" t="s">
        <v>70</v>
      </c>
      <c r="C31" s="41">
        <v>0</v>
      </c>
      <c r="D31" s="41">
        <v>60</v>
      </c>
      <c r="E31" s="41">
        <v>10</v>
      </c>
      <c r="F31" s="41">
        <v>0</v>
      </c>
      <c r="G31" s="41">
        <v>9</v>
      </c>
      <c r="H31" s="30">
        <f t="shared" si="6"/>
        <v>1</v>
      </c>
      <c r="I31" s="31"/>
      <c r="J31" s="30">
        <v>10</v>
      </c>
      <c r="K31" s="32" t="e">
        <f>IF(#REF!=0,"0,0%",J31/#REF!)</f>
        <v>#REF!</v>
      </c>
      <c r="L31" s="21">
        <f t="shared" si="1"/>
        <v>-1</v>
      </c>
      <c r="M31" s="22">
        <f t="shared" si="2"/>
        <v>0.9</v>
      </c>
      <c r="N31" s="17">
        <f t="shared" si="3"/>
        <v>9</v>
      </c>
      <c r="O31" s="30"/>
      <c r="P31" s="30"/>
      <c r="Q31" s="32"/>
      <c r="R31" s="30"/>
      <c r="S31" s="30"/>
      <c r="T31" s="32"/>
    </row>
    <row r="32" spans="1:20" ht="66">
      <c r="A32" s="51" t="s">
        <v>71</v>
      </c>
      <c r="B32" s="52" t="s">
        <v>72</v>
      </c>
      <c r="C32" s="41">
        <v>0</v>
      </c>
      <c r="D32" s="41">
        <v>0</v>
      </c>
      <c r="E32" s="30">
        <v>593.4</v>
      </c>
      <c r="F32" s="30">
        <v>0</v>
      </c>
      <c r="G32" s="30">
        <v>597.70000000000005</v>
      </c>
      <c r="H32" s="30">
        <f t="shared" si="6"/>
        <v>-4.3000000000000682</v>
      </c>
      <c r="I32" s="31"/>
      <c r="J32" s="55">
        <v>10</v>
      </c>
      <c r="K32" s="32" t="e">
        <f>IF(#REF!=0,"0,0%",J32/#REF!)</f>
        <v>#REF!</v>
      </c>
      <c r="L32" s="21">
        <f t="shared" si="1"/>
        <v>4.3000000000000682</v>
      </c>
      <c r="M32" s="22">
        <f t="shared" si="2"/>
        <v>1.0072463768115942</v>
      </c>
      <c r="N32" s="17">
        <f t="shared" si="3"/>
        <v>597.70000000000005</v>
      </c>
      <c r="O32" s="30">
        <v>70</v>
      </c>
      <c r="P32" s="55">
        <v>70</v>
      </c>
      <c r="Q32" s="32">
        <f t="shared" si="4"/>
        <v>1</v>
      </c>
      <c r="R32" s="30">
        <v>80</v>
      </c>
      <c r="S32" s="55">
        <v>80</v>
      </c>
      <c r="T32" s="32">
        <f t="shared" si="5"/>
        <v>1</v>
      </c>
    </row>
    <row r="33" spans="1:20" ht="16.5">
      <c r="A33" s="62" t="s">
        <v>73</v>
      </c>
      <c r="B33" s="63" t="s">
        <v>74</v>
      </c>
      <c r="C33" s="64">
        <f t="shared" ref="C33:H33" si="11">C34+C37+C47+C43+C42+C46</f>
        <v>113977.7</v>
      </c>
      <c r="D33" s="64">
        <f t="shared" si="11"/>
        <v>57567</v>
      </c>
      <c r="E33" s="65">
        <f t="shared" si="11"/>
        <v>68033.100000000006</v>
      </c>
      <c r="F33" s="65">
        <f t="shared" si="11"/>
        <v>87697.3</v>
      </c>
      <c r="G33" s="65">
        <f t="shared" si="11"/>
        <v>68033.100000000006</v>
      </c>
      <c r="H33" s="65">
        <f t="shared" si="11"/>
        <v>0</v>
      </c>
      <c r="I33" s="19"/>
      <c r="J33" s="65">
        <f>J34+J37+J47+J43+J42</f>
        <v>9027.7000000000007</v>
      </c>
      <c r="K33" s="20" t="e">
        <f>IF(#REF!=0,"0,0%",J33/#REF!)</f>
        <v>#REF!</v>
      </c>
      <c r="L33" s="21">
        <f t="shared" si="1"/>
        <v>0</v>
      </c>
      <c r="M33" s="22">
        <f t="shared" si="2"/>
        <v>1</v>
      </c>
      <c r="N33" s="17">
        <f t="shared" si="3"/>
        <v>-19664.199999999997</v>
      </c>
      <c r="O33" s="65" t="e">
        <f>O34+O37+O39+O47</f>
        <v>#REF!</v>
      </c>
      <c r="P33" s="65" t="e">
        <f>P34+P37+P39+P47</f>
        <v>#REF!</v>
      </c>
      <c r="Q33" s="20" t="e">
        <f t="shared" si="4"/>
        <v>#REF!</v>
      </c>
      <c r="R33" s="65" t="e">
        <f>R34+R37+R39+R47</f>
        <v>#REF!</v>
      </c>
      <c r="S33" s="65" t="e">
        <f>S34+S37+S39+S47</f>
        <v>#REF!</v>
      </c>
      <c r="T33" s="20" t="e">
        <f t="shared" si="5"/>
        <v>#REF!</v>
      </c>
    </row>
    <row r="34" spans="1:20" ht="33">
      <c r="A34" s="62" t="s">
        <v>75</v>
      </c>
      <c r="B34" s="63" t="s">
        <v>76</v>
      </c>
      <c r="C34" s="64">
        <f>C36+C35</f>
        <v>10181.4</v>
      </c>
      <c r="D34" s="64">
        <f>D36+D35</f>
        <v>7106.4</v>
      </c>
      <c r="E34" s="65">
        <f>E36+E35</f>
        <v>7106.4</v>
      </c>
      <c r="F34" s="65">
        <f>F36+F35</f>
        <v>6488</v>
      </c>
      <c r="G34" s="65">
        <f>G36+G35</f>
        <v>7106.4</v>
      </c>
      <c r="H34" s="65">
        <f t="shared" si="6"/>
        <v>0</v>
      </c>
      <c r="I34" s="19"/>
      <c r="J34" s="65">
        <f>J36+J35</f>
        <v>9027.7000000000007</v>
      </c>
      <c r="K34" s="20" t="e">
        <f>IF(#REF!=0,"0,0%",J34/#REF!)</f>
        <v>#REF!</v>
      </c>
      <c r="L34" s="21">
        <f t="shared" si="1"/>
        <v>0</v>
      </c>
      <c r="M34" s="22">
        <f t="shared" si="2"/>
        <v>1</v>
      </c>
      <c r="N34" s="17">
        <f t="shared" si="3"/>
        <v>618.39999999999964</v>
      </c>
      <c r="O34" s="65">
        <f>O36</f>
        <v>7468.8</v>
      </c>
      <c r="P34" s="65">
        <f>P36</f>
        <v>7468.8</v>
      </c>
      <c r="Q34" s="20">
        <f t="shared" si="4"/>
        <v>1</v>
      </c>
      <c r="R34" s="65">
        <f>R36</f>
        <v>7834.7</v>
      </c>
      <c r="S34" s="65">
        <f>S36</f>
        <v>7834.7</v>
      </c>
      <c r="T34" s="20">
        <f t="shared" si="5"/>
        <v>1</v>
      </c>
    </row>
    <row r="35" spans="1:20" ht="49.5">
      <c r="A35" s="66" t="s">
        <v>77</v>
      </c>
      <c r="B35" s="67" t="s">
        <v>78</v>
      </c>
      <c r="C35" s="68">
        <v>2487.6999999999998</v>
      </c>
      <c r="D35" s="68">
        <v>7106.4</v>
      </c>
      <c r="E35" s="68">
        <v>7106.4</v>
      </c>
      <c r="F35" s="68">
        <v>6488</v>
      </c>
      <c r="G35" s="68">
        <v>7106.4</v>
      </c>
      <c r="H35" s="54">
        <f t="shared" si="6"/>
        <v>0</v>
      </c>
      <c r="I35" s="31"/>
      <c r="J35" s="68">
        <v>0</v>
      </c>
      <c r="K35" s="32">
        <v>0</v>
      </c>
      <c r="L35" s="21">
        <f t="shared" si="1"/>
        <v>0</v>
      </c>
      <c r="M35" s="22">
        <f t="shared" si="2"/>
        <v>1</v>
      </c>
      <c r="N35" s="17">
        <f t="shared" si="3"/>
        <v>618.39999999999964</v>
      </c>
      <c r="O35" s="68"/>
      <c r="P35" s="68"/>
      <c r="Q35" s="32"/>
      <c r="R35" s="68"/>
      <c r="S35" s="68"/>
      <c r="T35" s="32"/>
    </row>
    <row r="36" spans="1:20" ht="82.5" hidden="1">
      <c r="A36" s="69" t="s">
        <v>79</v>
      </c>
      <c r="B36" s="70" t="s">
        <v>80</v>
      </c>
      <c r="C36" s="37">
        <v>7693.7</v>
      </c>
      <c r="D36" s="37">
        <v>0</v>
      </c>
      <c r="E36" s="30">
        <v>0</v>
      </c>
      <c r="F36" s="30">
        <v>0</v>
      </c>
      <c r="G36" s="30">
        <v>0</v>
      </c>
      <c r="H36" s="30">
        <f t="shared" si="6"/>
        <v>0</v>
      </c>
      <c r="I36" s="31"/>
      <c r="J36" s="30">
        <v>9027.7000000000007</v>
      </c>
      <c r="K36" s="32" t="e">
        <f>IF(#REF!=0,"0,0%",J36/#REF!)</f>
        <v>#REF!</v>
      </c>
      <c r="L36" s="21">
        <f t="shared" si="1"/>
        <v>0</v>
      </c>
      <c r="M36" s="22" t="e">
        <f t="shared" si="2"/>
        <v>#DIV/0!</v>
      </c>
      <c r="N36" s="17">
        <f t="shared" si="3"/>
        <v>0</v>
      </c>
      <c r="O36" s="30">
        <v>7468.8</v>
      </c>
      <c r="P36" s="30">
        <v>7468.8</v>
      </c>
      <c r="Q36" s="32">
        <f t="shared" si="4"/>
        <v>1</v>
      </c>
      <c r="R36" s="30">
        <v>7834.7</v>
      </c>
      <c r="S36" s="30">
        <v>7834.7</v>
      </c>
      <c r="T36" s="32">
        <f t="shared" si="5"/>
        <v>1</v>
      </c>
    </row>
    <row r="37" spans="1:20" ht="49.5">
      <c r="A37" s="71" t="s">
        <v>81</v>
      </c>
      <c r="B37" s="72" t="s">
        <v>82</v>
      </c>
      <c r="C37" s="73">
        <f>C39+C38</f>
        <v>57478.299999999996</v>
      </c>
      <c r="D37" s="73">
        <f>D39+D38</f>
        <v>50460.6</v>
      </c>
      <c r="E37" s="73">
        <f>E39+E38</f>
        <v>50460.6</v>
      </c>
      <c r="F37" s="73">
        <f>F39+F38</f>
        <v>48983.5</v>
      </c>
      <c r="G37" s="73">
        <f>G39+G38</f>
        <v>50460.6</v>
      </c>
      <c r="H37" s="73">
        <f t="shared" si="6"/>
        <v>0</v>
      </c>
      <c r="I37" s="19"/>
      <c r="J37" s="73">
        <f>J39+J38</f>
        <v>0</v>
      </c>
      <c r="K37" s="20" t="e">
        <f>IF(#REF!=0,"0,0%",J37/#REF!)</f>
        <v>#REF!</v>
      </c>
      <c r="L37" s="21">
        <f t="shared" si="1"/>
        <v>0</v>
      </c>
      <c r="M37" s="22">
        <f t="shared" si="2"/>
        <v>1</v>
      </c>
      <c r="N37" s="17">
        <f t="shared" si="3"/>
        <v>1477.0999999999985</v>
      </c>
      <c r="O37" s="73" t="e">
        <f>#REF!</f>
        <v>#REF!</v>
      </c>
      <c r="P37" s="73" t="e">
        <f>#REF!</f>
        <v>#REF!</v>
      </c>
      <c r="Q37" s="20" t="e">
        <f t="shared" si="4"/>
        <v>#REF!</v>
      </c>
      <c r="R37" s="73" t="e">
        <f>#REF!</f>
        <v>#REF!</v>
      </c>
      <c r="S37" s="73" t="e">
        <f>#REF!</f>
        <v>#REF!</v>
      </c>
      <c r="T37" s="20" t="e">
        <f t="shared" si="5"/>
        <v>#REF!</v>
      </c>
    </row>
    <row r="38" spans="1:20" ht="33" hidden="1">
      <c r="A38" s="74" t="s">
        <v>83</v>
      </c>
      <c r="B38" s="75" t="s">
        <v>84</v>
      </c>
      <c r="C38" s="76">
        <v>2774.1</v>
      </c>
      <c r="D38" s="76"/>
      <c r="E38" s="76">
        <v>0</v>
      </c>
      <c r="F38" s="76">
        <v>0</v>
      </c>
      <c r="G38" s="76">
        <v>0</v>
      </c>
      <c r="H38" s="76">
        <f t="shared" si="6"/>
        <v>0</v>
      </c>
      <c r="I38" s="31"/>
      <c r="J38" s="76">
        <v>0</v>
      </c>
      <c r="K38" s="32" t="e">
        <f>IF(#REF!=0,"0,0%",J38/#REF!)</f>
        <v>#REF!</v>
      </c>
      <c r="L38" s="21">
        <f t="shared" si="1"/>
        <v>0</v>
      </c>
      <c r="M38" s="22" t="e">
        <f t="shared" si="2"/>
        <v>#DIV/0!</v>
      </c>
      <c r="N38" s="17">
        <f t="shared" si="3"/>
        <v>0</v>
      </c>
      <c r="O38" s="76">
        <f>O39+O40</f>
        <v>0</v>
      </c>
      <c r="P38" s="76">
        <f>P39+P40</f>
        <v>0</v>
      </c>
      <c r="Q38" s="32" t="str">
        <f t="shared" si="4"/>
        <v>0,0%</v>
      </c>
      <c r="R38" s="76">
        <f>R39+R40</f>
        <v>0</v>
      </c>
      <c r="S38" s="76">
        <f>S39+S40</f>
        <v>0</v>
      </c>
      <c r="T38" s="32" t="str">
        <f t="shared" si="5"/>
        <v>0,0%</v>
      </c>
    </row>
    <row r="39" spans="1:20" s="61" customFormat="1" ht="16.5">
      <c r="A39" s="71" t="s">
        <v>85</v>
      </c>
      <c r="B39" s="77" t="s">
        <v>86</v>
      </c>
      <c r="C39" s="73">
        <f>C40+C41+8494.8</f>
        <v>54704.2</v>
      </c>
      <c r="D39" s="73">
        <f>D40+D41</f>
        <v>50460.6</v>
      </c>
      <c r="E39" s="73">
        <f>E40+E41</f>
        <v>50460.6</v>
      </c>
      <c r="F39" s="73">
        <v>48983.5</v>
      </c>
      <c r="G39" s="73">
        <f>G40+G41</f>
        <v>50460.6</v>
      </c>
      <c r="H39" s="73">
        <f t="shared" si="6"/>
        <v>0</v>
      </c>
      <c r="I39" s="19"/>
      <c r="J39" s="73">
        <f>J40+J41</f>
        <v>0</v>
      </c>
      <c r="K39" s="20" t="e">
        <f>IF(#REF!=0,"0,0%",J39/#REF!)</f>
        <v>#REF!</v>
      </c>
      <c r="L39" s="21">
        <f t="shared" si="1"/>
        <v>0</v>
      </c>
      <c r="M39" s="22">
        <f t="shared" si="2"/>
        <v>1</v>
      </c>
      <c r="N39" s="17">
        <f t="shared" si="3"/>
        <v>1477.0999999999985</v>
      </c>
      <c r="O39" s="73">
        <f>O40+O41</f>
        <v>0</v>
      </c>
      <c r="P39" s="73">
        <f>P40+P41</f>
        <v>0</v>
      </c>
      <c r="Q39" s="20" t="str">
        <f t="shared" si="4"/>
        <v>0,0%</v>
      </c>
      <c r="R39" s="73">
        <f>R40+R41</f>
        <v>0</v>
      </c>
      <c r="S39" s="73">
        <f>S40+S41</f>
        <v>0</v>
      </c>
      <c r="T39" s="20" t="str">
        <f t="shared" si="5"/>
        <v>0,0%</v>
      </c>
    </row>
    <row r="40" spans="1:20" ht="70.5" customHeight="1">
      <c r="A40" s="78" t="s">
        <v>87</v>
      </c>
      <c r="B40" s="79" t="s">
        <v>88</v>
      </c>
      <c r="C40" s="80">
        <v>23019.4</v>
      </c>
      <c r="D40" s="80">
        <v>24055.599999999999</v>
      </c>
      <c r="E40" s="81">
        <v>24055.599999999999</v>
      </c>
      <c r="F40" s="76">
        <v>0</v>
      </c>
      <c r="G40" s="81">
        <v>24055.599999999999</v>
      </c>
      <c r="H40" s="81">
        <f t="shared" si="6"/>
        <v>0</v>
      </c>
      <c r="I40" s="31"/>
      <c r="J40" s="30">
        <v>0</v>
      </c>
      <c r="K40" s="32" t="e">
        <f>IF(#REF!=0,"0,0%",J40/#REF!)</f>
        <v>#REF!</v>
      </c>
      <c r="L40" s="21">
        <f t="shared" si="1"/>
        <v>0</v>
      </c>
      <c r="M40" s="22">
        <f t="shared" si="2"/>
        <v>1</v>
      </c>
      <c r="N40" s="17">
        <f t="shared" si="3"/>
        <v>24055.599999999999</v>
      </c>
      <c r="O40" s="82">
        <v>0</v>
      </c>
      <c r="P40" s="30">
        <v>0</v>
      </c>
      <c r="Q40" s="32" t="str">
        <f t="shared" si="4"/>
        <v>0,0%</v>
      </c>
      <c r="R40" s="82">
        <v>0</v>
      </c>
      <c r="S40" s="30">
        <v>0</v>
      </c>
      <c r="T40" s="32" t="str">
        <f t="shared" si="5"/>
        <v>0,0%</v>
      </c>
    </row>
    <row r="41" spans="1:20" ht="66">
      <c r="A41" s="78" t="s">
        <v>89</v>
      </c>
      <c r="B41" s="79" t="s">
        <v>90</v>
      </c>
      <c r="C41" s="80">
        <v>23190</v>
      </c>
      <c r="D41" s="80">
        <v>26405</v>
      </c>
      <c r="E41" s="81">
        <v>26405</v>
      </c>
      <c r="F41" s="76">
        <v>0</v>
      </c>
      <c r="G41" s="81">
        <v>26405</v>
      </c>
      <c r="H41" s="81">
        <f t="shared" si="6"/>
        <v>0</v>
      </c>
      <c r="I41" s="31"/>
      <c r="J41" s="30">
        <v>0</v>
      </c>
      <c r="K41" s="32" t="e">
        <f>IF(#REF!=0,"0,0%",J41/#REF!)</f>
        <v>#REF!</v>
      </c>
      <c r="L41" s="21">
        <f t="shared" si="1"/>
        <v>0</v>
      </c>
      <c r="M41" s="22">
        <f t="shared" si="2"/>
        <v>1</v>
      </c>
      <c r="N41" s="17">
        <f t="shared" si="3"/>
        <v>26405</v>
      </c>
      <c r="O41" s="30">
        <v>0</v>
      </c>
      <c r="P41" s="30">
        <v>0</v>
      </c>
      <c r="Q41" s="32" t="str">
        <f t="shared" si="4"/>
        <v>0,0%</v>
      </c>
      <c r="R41" s="30">
        <v>0</v>
      </c>
      <c r="S41" s="30">
        <v>0</v>
      </c>
      <c r="T41" s="32" t="str">
        <f t="shared" si="5"/>
        <v>0,0%</v>
      </c>
    </row>
    <row r="42" spans="1:20" s="61" customFormat="1" ht="33" hidden="1">
      <c r="A42" s="83" t="s">
        <v>91</v>
      </c>
      <c r="B42" s="84" t="s">
        <v>92</v>
      </c>
      <c r="C42" s="85">
        <v>540.70000000000005</v>
      </c>
      <c r="D42" s="85">
        <v>0</v>
      </c>
      <c r="E42" s="86">
        <v>0</v>
      </c>
      <c r="F42" s="73">
        <v>0</v>
      </c>
      <c r="G42" s="86">
        <v>0</v>
      </c>
      <c r="H42" s="81">
        <f t="shared" si="6"/>
        <v>0</v>
      </c>
      <c r="I42" s="19"/>
      <c r="J42" s="60">
        <v>0</v>
      </c>
      <c r="K42" s="20"/>
      <c r="L42" s="21">
        <f t="shared" si="1"/>
        <v>0</v>
      </c>
      <c r="M42" s="22" t="e">
        <f t="shared" si="2"/>
        <v>#DIV/0!</v>
      </c>
      <c r="N42" s="17">
        <f t="shared" si="3"/>
        <v>0</v>
      </c>
      <c r="O42" s="60"/>
      <c r="P42" s="60"/>
      <c r="Q42" s="20"/>
      <c r="R42" s="60"/>
      <c r="S42" s="60"/>
      <c r="T42" s="20"/>
    </row>
    <row r="43" spans="1:20" s="61" customFormat="1" ht="16.5">
      <c r="A43" s="83" t="s">
        <v>93</v>
      </c>
      <c r="B43" s="84" t="s">
        <v>94</v>
      </c>
      <c r="C43" s="85">
        <f>C44+C45</f>
        <v>48495.6</v>
      </c>
      <c r="D43" s="85">
        <f>SUM(D44:D45)</f>
        <v>0</v>
      </c>
      <c r="E43" s="87">
        <f>E44+E45</f>
        <v>10500</v>
      </c>
      <c r="F43" s="87">
        <f>F44+F45</f>
        <v>35000</v>
      </c>
      <c r="G43" s="87">
        <f>G44+G45</f>
        <v>10500</v>
      </c>
      <c r="H43" s="86">
        <f t="shared" si="6"/>
        <v>0</v>
      </c>
      <c r="I43" s="19"/>
      <c r="J43" s="87">
        <f>J44+J45</f>
        <v>0</v>
      </c>
      <c r="K43" s="20" t="e">
        <f>IF(#REF!=0,"0,0%",J43/#REF!)</f>
        <v>#REF!</v>
      </c>
      <c r="L43" s="21">
        <f t="shared" si="1"/>
        <v>0</v>
      </c>
      <c r="M43" s="22">
        <f t="shared" si="2"/>
        <v>1</v>
      </c>
      <c r="N43" s="17">
        <f t="shared" si="3"/>
        <v>-24500</v>
      </c>
      <c r="O43" s="87">
        <f>O44</f>
        <v>0</v>
      </c>
      <c r="P43" s="87">
        <f>P44</f>
        <v>0</v>
      </c>
      <c r="Q43" s="20" t="str">
        <f t="shared" si="4"/>
        <v>0,0%</v>
      </c>
      <c r="R43" s="87">
        <f>R44</f>
        <v>0</v>
      </c>
      <c r="S43" s="87">
        <f>S44</f>
        <v>0</v>
      </c>
      <c r="T43" s="20" t="str">
        <f t="shared" si="5"/>
        <v>0,0%</v>
      </c>
    </row>
    <row r="44" spans="1:20" ht="49.5">
      <c r="A44" s="78" t="s">
        <v>95</v>
      </c>
      <c r="B44" s="79" t="s">
        <v>96</v>
      </c>
      <c r="C44" s="80">
        <v>13495.6</v>
      </c>
      <c r="D44" s="80">
        <v>0</v>
      </c>
      <c r="E44" s="81">
        <v>10500</v>
      </c>
      <c r="F44" s="76">
        <v>0</v>
      </c>
      <c r="G44" s="81">
        <v>10500</v>
      </c>
      <c r="H44" s="81">
        <f t="shared" si="6"/>
        <v>0</v>
      </c>
      <c r="I44" s="31"/>
      <c r="J44" s="30">
        <v>0</v>
      </c>
      <c r="K44" s="32" t="e">
        <f>IF(#REF!=0,"0,0%",J44/#REF!)</f>
        <v>#REF!</v>
      </c>
      <c r="L44" s="21">
        <f t="shared" si="1"/>
        <v>0</v>
      </c>
      <c r="M44" s="22">
        <f t="shared" si="2"/>
        <v>1</v>
      </c>
      <c r="N44" s="17">
        <f t="shared" si="3"/>
        <v>10500</v>
      </c>
      <c r="O44" s="30">
        <v>0</v>
      </c>
      <c r="P44" s="30">
        <v>0</v>
      </c>
      <c r="Q44" s="32" t="str">
        <f t="shared" si="4"/>
        <v>0,0%</v>
      </c>
      <c r="R44" s="30">
        <v>0</v>
      </c>
      <c r="S44" s="30">
        <v>0</v>
      </c>
      <c r="T44" s="32" t="str">
        <f t="shared" si="5"/>
        <v>0,0%</v>
      </c>
    </row>
    <row r="45" spans="1:20" ht="33" hidden="1">
      <c r="A45" s="78" t="s">
        <v>97</v>
      </c>
      <c r="B45" s="79" t="s">
        <v>98</v>
      </c>
      <c r="C45" s="80">
        <v>35000</v>
      </c>
      <c r="D45" s="80">
        <v>0</v>
      </c>
      <c r="E45" s="81">
        <v>0</v>
      </c>
      <c r="F45" s="76">
        <v>35000</v>
      </c>
      <c r="G45" s="81">
        <v>0</v>
      </c>
      <c r="H45" s="81">
        <f t="shared" si="6"/>
        <v>0</v>
      </c>
      <c r="I45" s="31"/>
      <c r="J45" s="30">
        <v>0</v>
      </c>
      <c r="K45" s="32" t="e">
        <f>IF(#REF!=0,"0,0%",J45/#REF!)</f>
        <v>#REF!</v>
      </c>
      <c r="L45" s="21">
        <f t="shared" si="1"/>
        <v>0</v>
      </c>
      <c r="M45" s="22" t="e">
        <f t="shared" si="2"/>
        <v>#DIV/0!</v>
      </c>
      <c r="N45" s="17">
        <f t="shared" si="3"/>
        <v>-35000</v>
      </c>
      <c r="O45" s="30"/>
      <c r="P45" s="30"/>
      <c r="Q45" s="32"/>
      <c r="R45" s="30"/>
      <c r="S45" s="30"/>
      <c r="T45" s="32"/>
    </row>
    <row r="46" spans="1:20" ht="16.5" hidden="1">
      <c r="A46" s="88" t="s">
        <v>99</v>
      </c>
      <c r="B46" s="89" t="s">
        <v>100</v>
      </c>
      <c r="C46" s="90">
        <v>86.1</v>
      </c>
      <c r="D46" s="90">
        <v>0</v>
      </c>
      <c r="E46" s="91">
        <v>0</v>
      </c>
      <c r="F46" s="92">
        <v>0</v>
      </c>
      <c r="G46" s="91">
        <v>0</v>
      </c>
      <c r="H46" s="91">
        <v>0</v>
      </c>
      <c r="I46" s="93"/>
      <c r="J46" s="48">
        <v>0</v>
      </c>
      <c r="K46" s="35" t="e">
        <f>IF(#REF!=0,"0,0%",J46/#REF!)</f>
        <v>#REF!</v>
      </c>
      <c r="L46" s="21">
        <f t="shared" si="1"/>
        <v>0</v>
      </c>
      <c r="M46" s="22" t="e">
        <f t="shared" si="2"/>
        <v>#DIV/0!</v>
      </c>
      <c r="N46" s="17">
        <f t="shared" si="3"/>
        <v>0</v>
      </c>
      <c r="O46" s="30"/>
      <c r="P46" s="30"/>
      <c r="Q46" s="32"/>
      <c r="R46" s="30"/>
      <c r="S46" s="30"/>
      <c r="T46" s="32"/>
    </row>
    <row r="47" spans="1:20" ht="49.5">
      <c r="A47" s="88" t="s">
        <v>101</v>
      </c>
      <c r="B47" s="94" t="s">
        <v>102</v>
      </c>
      <c r="C47" s="95">
        <v>-2804.4</v>
      </c>
      <c r="D47" s="95">
        <v>0</v>
      </c>
      <c r="E47" s="91">
        <v>-33.9</v>
      </c>
      <c r="F47" s="92">
        <v>-2774.2</v>
      </c>
      <c r="G47" s="91">
        <v>-33.9</v>
      </c>
      <c r="H47" s="91">
        <f t="shared" si="6"/>
        <v>0</v>
      </c>
      <c r="I47" s="19"/>
      <c r="J47" s="30">
        <v>0</v>
      </c>
      <c r="K47" s="20" t="e">
        <f>IF(#REF!=0,"0,0%",J47/#REF!)</f>
        <v>#REF!</v>
      </c>
      <c r="L47" s="21">
        <f t="shared" si="1"/>
        <v>0</v>
      </c>
      <c r="M47" s="22">
        <f t="shared" si="2"/>
        <v>1</v>
      </c>
      <c r="N47" s="17">
        <f t="shared" si="3"/>
        <v>2740.2999999999997</v>
      </c>
      <c r="O47" s="30">
        <v>0</v>
      </c>
      <c r="P47" s="30">
        <v>0</v>
      </c>
      <c r="Q47" s="20" t="str">
        <f t="shared" si="4"/>
        <v>0,0%</v>
      </c>
      <c r="R47" s="30">
        <v>0</v>
      </c>
      <c r="S47" s="30">
        <v>0</v>
      </c>
      <c r="T47" s="20" t="str">
        <f t="shared" si="5"/>
        <v>0,0%</v>
      </c>
    </row>
    <row r="48" spans="1:20" ht="16.5">
      <c r="A48" s="96"/>
      <c r="B48" s="97" t="s">
        <v>103</v>
      </c>
      <c r="C48" s="58">
        <f>C5+C33</f>
        <v>625820</v>
      </c>
      <c r="D48" s="58">
        <f>D5+D33</f>
        <v>517340.8</v>
      </c>
      <c r="E48" s="98">
        <f>E5+E33</f>
        <v>584231.9</v>
      </c>
      <c r="F48" s="98">
        <f>F5+F33</f>
        <v>551903.6</v>
      </c>
      <c r="G48" s="98">
        <f>G5+G33</f>
        <v>597176.29999999993</v>
      </c>
      <c r="H48" s="98">
        <f t="shared" si="6"/>
        <v>-12944.399999999907</v>
      </c>
      <c r="I48" s="19"/>
      <c r="J48" s="98">
        <f>J5+J33</f>
        <v>599541.43599999999</v>
      </c>
      <c r="K48" s="19" t="e">
        <f>IF(#REF!=0,"0,0%",J48/#REF!)</f>
        <v>#REF!</v>
      </c>
      <c r="L48" s="21">
        <f t="shared" si="1"/>
        <v>12944.399999999907</v>
      </c>
      <c r="M48" s="22">
        <f t="shared" si="2"/>
        <v>1.022156270480951</v>
      </c>
      <c r="N48" s="17">
        <f t="shared" si="3"/>
        <v>45272.699999999953</v>
      </c>
      <c r="O48" s="60" t="e">
        <f>O5+O33</f>
        <v>#REF!</v>
      </c>
      <c r="P48" s="60" t="e">
        <f>P5+P33</f>
        <v>#REF!</v>
      </c>
      <c r="Q48" s="20" t="e">
        <f t="shared" si="4"/>
        <v>#REF!</v>
      </c>
      <c r="R48" s="60" t="e">
        <f>R5+R33</f>
        <v>#REF!</v>
      </c>
      <c r="S48" s="60" t="e">
        <f>S5+S33</f>
        <v>#REF!</v>
      </c>
      <c r="T48" s="20" t="e">
        <f t="shared" si="5"/>
        <v>#REF!</v>
      </c>
    </row>
    <row r="49" spans="1:21" ht="16.5">
      <c r="A49" s="99"/>
      <c r="B49" s="100"/>
      <c r="C49" s="59"/>
      <c r="D49" s="59"/>
      <c r="E49" s="60"/>
      <c r="F49" s="60"/>
      <c r="G49" s="60"/>
      <c r="H49" s="60"/>
      <c r="I49" s="19"/>
      <c r="J49" s="60"/>
      <c r="K49" s="20"/>
      <c r="L49" s="21"/>
      <c r="M49" s="22"/>
      <c r="N49" s="17"/>
      <c r="O49" s="60"/>
      <c r="P49" s="60"/>
      <c r="Q49" s="20"/>
      <c r="R49" s="60"/>
      <c r="S49" s="60"/>
      <c r="T49" s="20"/>
    </row>
    <row r="50" spans="1:21" ht="16.5">
      <c r="A50" s="99"/>
      <c r="B50" s="100" t="s">
        <v>104</v>
      </c>
      <c r="C50" s="101"/>
      <c r="D50" s="101"/>
      <c r="E50" s="102"/>
      <c r="F50" s="102"/>
      <c r="G50" s="102"/>
      <c r="H50" s="102"/>
      <c r="I50" s="103"/>
      <c r="J50" s="60"/>
      <c r="K50" s="104"/>
      <c r="L50" s="21"/>
      <c r="M50" s="22"/>
      <c r="N50" s="17"/>
      <c r="O50" s="102"/>
      <c r="P50" s="60"/>
      <c r="Q50" s="104"/>
      <c r="R50" s="102"/>
      <c r="S50" s="60"/>
      <c r="T50" s="104"/>
    </row>
    <row r="51" spans="1:21" s="61" customFormat="1" ht="16.5">
      <c r="A51" s="105" t="s">
        <v>105</v>
      </c>
      <c r="B51" s="106" t="s">
        <v>106</v>
      </c>
      <c r="C51" s="65">
        <f>C52+C77+C78+C79</f>
        <v>90842.400000000009</v>
      </c>
      <c r="D51" s="64">
        <f>D52+D77+D78+D79</f>
        <v>83857.5</v>
      </c>
      <c r="E51" s="98">
        <f>E52+E77+E78+E79</f>
        <v>81752.399999999994</v>
      </c>
      <c r="F51" s="98">
        <f>F52+F77+F78+F79</f>
        <v>77557.5</v>
      </c>
      <c r="G51" s="98">
        <f>G52+G77+G78+G79</f>
        <v>78307.8</v>
      </c>
      <c r="H51" s="60">
        <f t="shared" si="6"/>
        <v>3444.5999999999913</v>
      </c>
      <c r="I51" s="107">
        <f>G51/G297</f>
        <v>0.12695405466748808</v>
      </c>
      <c r="J51" s="25">
        <f>J52+J78+J79+J77</f>
        <v>29585.5</v>
      </c>
      <c r="K51" s="20" t="e">
        <f>IF(#REF!=0,"0,0%",J51/#REF!)</f>
        <v>#REF!</v>
      </c>
      <c r="L51" s="21">
        <f t="shared" si="1"/>
        <v>-3444.5999999999913</v>
      </c>
      <c r="M51" s="22">
        <f t="shared" si="2"/>
        <v>0.95786545716089078</v>
      </c>
      <c r="N51" s="17">
        <f t="shared" si="3"/>
        <v>750.30000000000291</v>
      </c>
      <c r="O51" s="60" t="e">
        <f>O52+O77+O78+O79</f>
        <v>#REF!</v>
      </c>
      <c r="P51" s="25" t="e">
        <f>P52+P78+P79+P77</f>
        <v>#REF!</v>
      </c>
      <c r="Q51" s="20" t="e">
        <f>IF(O51=0,"0,0%",P51/O51)</f>
        <v>#REF!</v>
      </c>
      <c r="R51" s="60" t="e">
        <f>R52+R77+R78+R79</f>
        <v>#REF!</v>
      </c>
      <c r="S51" s="25" t="e">
        <f>S52+S78+S79+S77</f>
        <v>#REF!</v>
      </c>
      <c r="T51" s="20" t="e">
        <f>IF(R51=0,"0,0%",S51/R51)</f>
        <v>#REF!</v>
      </c>
    </row>
    <row r="52" spans="1:21" s="61" customFormat="1" ht="16.5" hidden="1">
      <c r="A52" s="108" t="s">
        <v>107</v>
      </c>
      <c r="B52" s="109" t="s">
        <v>108</v>
      </c>
      <c r="C52" s="60">
        <f t="shared" ref="C52:J52" si="12">C55+C58+C62+C71</f>
        <v>66869.700000000012</v>
      </c>
      <c r="D52" s="98">
        <f t="shared" si="12"/>
        <v>57438.8</v>
      </c>
      <c r="E52" s="98">
        <f t="shared" si="12"/>
        <v>54071.999999999993</v>
      </c>
      <c r="F52" s="98">
        <f>F55+F58+F62+F71</f>
        <v>53902.2</v>
      </c>
      <c r="G52" s="98">
        <f>G55+G58+G62+G71</f>
        <v>53131.9</v>
      </c>
      <c r="H52" s="60">
        <f t="shared" si="6"/>
        <v>940.09999999999127</v>
      </c>
      <c r="I52" s="107">
        <f>G52/G297</f>
        <v>8.6138419636198574E-2</v>
      </c>
      <c r="J52" s="60">
        <f t="shared" si="12"/>
        <v>21538.5</v>
      </c>
      <c r="K52" s="20" t="e">
        <f>IF(#REF!=0,"0,0%",J52/#REF!)</f>
        <v>#REF!</v>
      </c>
      <c r="L52" s="21">
        <f t="shared" si="1"/>
        <v>-940.09999999999127</v>
      </c>
      <c r="M52" s="22">
        <f t="shared" si="2"/>
        <v>0.98261392217783716</v>
      </c>
      <c r="N52" s="17">
        <f t="shared" si="3"/>
        <v>-770.29999999999563</v>
      </c>
      <c r="O52" s="60">
        <f>O55+O58+O62+O71</f>
        <v>62080.9</v>
      </c>
      <c r="P52" s="60">
        <f>P55+P58+P62+P71</f>
        <v>59065.599999999999</v>
      </c>
      <c r="Q52" s="20">
        <f t="shared" ref="Q52:Q130" si="13">IF(O52=0,"0,0%",P52/O52)</f>
        <v>0.95142950569337748</v>
      </c>
      <c r="R52" s="60">
        <f>R55+R58+R62+R71</f>
        <v>64141.200000000004</v>
      </c>
      <c r="S52" s="60">
        <f>S55+S58+S62+S71</f>
        <v>60976.100000000006</v>
      </c>
      <c r="T52" s="20">
        <f t="shared" ref="T52:T130" si="14">IF(R52=0,"0,0%",S52/R52)</f>
        <v>0.95065418171159877</v>
      </c>
    </row>
    <row r="53" spans="1:21" ht="16.5" hidden="1">
      <c r="A53" s="110"/>
      <c r="B53" s="111" t="s">
        <v>109</v>
      </c>
      <c r="C53" s="30">
        <f>C57+C60+C64+C73</f>
        <v>52243.600000000006</v>
      </c>
      <c r="D53" s="29">
        <f>D57+D60+D64+D73</f>
        <v>44621.700000000004</v>
      </c>
      <c r="E53" s="29">
        <f>E57+E60+E64+E73</f>
        <v>42247</v>
      </c>
      <c r="F53" s="29">
        <f>F57+F60+F64+F73</f>
        <v>41580.699999999997</v>
      </c>
      <c r="G53" s="29">
        <f>G57+G60+G64+G73</f>
        <v>41942.199999999997</v>
      </c>
      <c r="H53" s="30">
        <f t="shared" si="6"/>
        <v>304.80000000000291</v>
      </c>
      <c r="I53" s="107">
        <f>G53/G297</f>
        <v>6.7997470899127777E-2</v>
      </c>
      <c r="J53" s="30">
        <f>J57+J60+J64+J73</f>
        <v>13738.1</v>
      </c>
      <c r="K53" s="32" t="e">
        <f>IF(#REF!=0,"0,0%",J53/#REF!)</f>
        <v>#REF!</v>
      </c>
      <c r="L53" s="21">
        <f t="shared" si="1"/>
        <v>-304.80000000000291</v>
      </c>
      <c r="M53" s="22">
        <f t="shared" si="2"/>
        <v>0.99278528652922093</v>
      </c>
      <c r="N53" s="17">
        <f t="shared" si="3"/>
        <v>361.5</v>
      </c>
      <c r="O53" s="30">
        <f>O57+O60+O64+O73</f>
        <v>50025.2</v>
      </c>
      <c r="P53" s="30">
        <f>P57+P60+P64+P73</f>
        <v>47009.9</v>
      </c>
      <c r="Q53" s="32">
        <f t="shared" si="13"/>
        <v>0.93972437891302796</v>
      </c>
      <c r="R53" s="30">
        <f>R57+R60+R64+R73</f>
        <v>52515.100000000006</v>
      </c>
      <c r="S53" s="30">
        <f>S57+S60+S64+S73</f>
        <v>49350</v>
      </c>
      <c r="T53" s="32">
        <f t="shared" si="14"/>
        <v>0.93972971583411236</v>
      </c>
    </row>
    <row r="54" spans="1:21" ht="16.5" hidden="1">
      <c r="A54" s="110"/>
      <c r="B54" s="111" t="s">
        <v>110</v>
      </c>
      <c r="C54" s="30">
        <f t="shared" ref="C54:J54" si="15">C65</f>
        <v>3207.7999999999997</v>
      </c>
      <c r="D54" s="29">
        <f t="shared" si="15"/>
        <v>2918.7</v>
      </c>
      <c r="E54" s="29">
        <f t="shared" si="15"/>
        <v>3214.7</v>
      </c>
      <c r="F54" s="29">
        <f t="shared" si="15"/>
        <v>2948.2</v>
      </c>
      <c r="G54" s="29">
        <f t="shared" si="15"/>
        <v>3042.4</v>
      </c>
      <c r="H54" s="30">
        <f t="shared" si="6"/>
        <v>172.29999999999973</v>
      </c>
      <c r="I54" s="107">
        <f>G54/G297</f>
        <v>4.9323951882234689E-3</v>
      </c>
      <c r="J54" s="30">
        <f t="shared" si="15"/>
        <v>0</v>
      </c>
      <c r="K54" s="32" t="e">
        <f>IF(#REF!=0,"0,0%",J54/#REF!)</f>
        <v>#REF!</v>
      </c>
      <c r="L54" s="21">
        <f t="shared" si="1"/>
        <v>-172.29999999999973</v>
      </c>
      <c r="M54" s="22">
        <f t="shared" si="2"/>
        <v>0.94640246368245884</v>
      </c>
      <c r="N54" s="17">
        <f t="shared" si="3"/>
        <v>94.200000000000273</v>
      </c>
      <c r="O54" s="30">
        <f>O65</f>
        <v>3223.4</v>
      </c>
      <c r="P54" s="30">
        <f>P65</f>
        <v>3223.4</v>
      </c>
      <c r="Q54" s="32">
        <f t="shared" si="13"/>
        <v>1</v>
      </c>
      <c r="R54" s="30">
        <f>R65</f>
        <v>3577</v>
      </c>
      <c r="S54" s="30">
        <f>S65</f>
        <v>3577</v>
      </c>
      <c r="T54" s="32">
        <f t="shared" si="14"/>
        <v>1</v>
      </c>
    </row>
    <row r="55" spans="1:21" s="61" customFormat="1" ht="33">
      <c r="A55" s="112" t="s">
        <v>111</v>
      </c>
      <c r="B55" s="113" t="s">
        <v>112</v>
      </c>
      <c r="C55" s="60">
        <f>C57</f>
        <v>1867.2</v>
      </c>
      <c r="D55" s="60">
        <f t="shared" ref="D55:J55" si="16">D57</f>
        <v>1596.5</v>
      </c>
      <c r="E55" s="60">
        <f t="shared" si="16"/>
        <v>2001.8</v>
      </c>
      <c r="F55" s="60">
        <f t="shared" si="16"/>
        <v>1461.2</v>
      </c>
      <c r="G55" s="60">
        <f t="shared" si="16"/>
        <v>2001.4</v>
      </c>
      <c r="H55" s="60">
        <f t="shared" si="6"/>
        <v>0.39999999999986358</v>
      </c>
      <c r="I55" s="107">
        <f>G55/G297</f>
        <v>3.2447067215719337E-3</v>
      </c>
      <c r="J55" s="60">
        <f t="shared" si="16"/>
        <v>1683.9</v>
      </c>
      <c r="K55" s="20" t="e">
        <f>IF(#REF!=0,"0,0%",J55/#REF!)</f>
        <v>#REF!</v>
      </c>
      <c r="L55" s="21">
        <f t="shared" si="1"/>
        <v>-0.39999999999986358</v>
      </c>
      <c r="M55" s="22">
        <f t="shared" si="2"/>
        <v>0.99980017983814573</v>
      </c>
      <c r="N55" s="17">
        <f t="shared" si="3"/>
        <v>540.20000000000005</v>
      </c>
      <c r="O55" s="60">
        <f>O57</f>
        <v>1681.9</v>
      </c>
      <c r="P55" s="60">
        <f>P57</f>
        <v>1681.9</v>
      </c>
      <c r="Q55" s="20">
        <f t="shared" si="13"/>
        <v>1</v>
      </c>
      <c r="R55" s="60">
        <f>R57</f>
        <v>1765.5</v>
      </c>
      <c r="S55" s="60">
        <f>S57</f>
        <v>1765.5</v>
      </c>
      <c r="T55" s="20">
        <f t="shared" si="14"/>
        <v>1</v>
      </c>
    </row>
    <row r="56" spans="1:21" ht="16.5" hidden="1">
      <c r="A56" s="112"/>
      <c r="B56" s="113" t="s">
        <v>113</v>
      </c>
      <c r="C56" s="60"/>
      <c r="D56" s="60"/>
      <c r="E56" s="60"/>
      <c r="F56" s="60"/>
      <c r="G56" s="60"/>
      <c r="H56" s="60">
        <f t="shared" si="6"/>
        <v>0</v>
      </c>
      <c r="I56" s="107"/>
      <c r="J56" s="60"/>
      <c r="K56" s="20"/>
      <c r="L56" s="21"/>
      <c r="M56" s="22"/>
      <c r="N56" s="17"/>
      <c r="O56" s="60"/>
      <c r="P56" s="60"/>
      <c r="Q56" s="20"/>
      <c r="R56" s="60"/>
      <c r="S56" s="60"/>
      <c r="T56" s="20"/>
    </row>
    <row r="57" spans="1:21" ht="16.5" hidden="1">
      <c r="A57" s="114"/>
      <c r="B57" s="115" t="s">
        <v>109</v>
      </c>
      <c r="C57" s="30">
        <f>1461.2+406</f>
        <v>1867.2</v>
      </c>
      <c r="D57" s="30">
        <v>1596.5</v>
      </c>
      <c r="E57" s="30">
        <v>2001.8</v>
      </c>
      <c r="F57" s="30">
        <v>1461.2</v>
      </c>
      <c r="G57" s="30">
        <v>2001.4</v>
      </c>
      <c r="H57" s="30">
        <f t="shared" si="6"/>
        <v>0.39999999999986358</v>
      </c>
      <c r="I57" s="107">
        <f>G57/G297</f>
        <v>3.2447067215719337E-3</v>
      </c>
      <c r="J57" s="30">
        <v>1683.9</v>
      </c>
      <c r="K57" s="32" t="e">
        <f>IF(#REF!=0,"0,0%",J57/#REF!)</f>
        <v>#REF!</v>
      </c>
      <c r="L57" s="21">
        <f t="shared" si="1"/>
        <v>-0.39999999999986358</v>
      </c>
      <c r="M57" s="22">
        <f t="shared" si="2"/>
        <v>0.99980017983814573</v>
      </c>
      <c r="N57" s="17">
        <f t="shared" si="3"/>
        <v>540.20000000000005</v>
      </c>
      <c r="O57" s="30">
        <v>1681.9</v>
      </c>
      <c r="P57" s="30">
        <v>1681.9</v>
      </c>
      <c r="Q57" s="32">
        <f t="shared" si="13"/>
        <v>1</v>
      </c>
      <c r="R57" s="30">
        <v>1765.5</v>
      </c>
      <c r="S57" s="30">
        <v>1765.5</v>
      </c>
      <c r="T57" s="32">
        <f t="shared" si="14"/>
        <v>1</v>
      </c>
    </row>
    <row r="58" spans="1:21" s="61" customFormat="1" ht="66">
      <c r="A58" s="112" t="s">
        <v>114</v>
      </c>
      <c r="B58" s="116" t="s">
        <v>115</v>
      </c>
      <c r="C58" s="60">
        <f t="shared" ref="C58:J58" si="17">C60+C61</f>
        <v>6921.2999999999993</v>
      </c>
      <c r="D58" s="60">
        <f t="shared" si="17"/>
        <v>6998.5</v>
      </c>
      <c r="E58" s="60">
        <f t="shared" si="17"/>
        <v>9003</v>
      </c>
      <c r="F58" s="60">
        <f t="shared" si="17"/>
        <v>6421.5999999999995</v>
      </c>
      <c r="G58" s="60">
        <f t="shared" si="17"/>
        <v>8687.6999999999989</v>
      </c>
      <c r="H58" s="60">
        <f t="shared" si="6"/>
        <v>315.30000000000109</v>
      </c>
      <c r="I58" s="107">
        <f>G58/G297</f>
        <v>1.4084660030478906E-2</v>
      </c>
      <c r="J58" s="60">
        <f t="shared" si="17"/>
        <v>14684.2</v>
      </c>
      <c r="K58" s="20" t="e">
        <f>IF(#REF!=0,"0,0%",J58/#REF!)</f>
        <v>#REF!</v>
      </c>
      <c r="L58" s="21">
        <f t="shared" si="1"/>
        <v>-315.30000000000109</v>
      </c>
      <c r="M58" s="22">
        <f t="shared" si="2"/>
        <v>0.96497834055314879</v>
      </c>
      <c r="N58" s="17">
        <f t="shared" si="3"/>
        <v>2266.0999999999995</v>
      </c>
      <c r="O58" s="60">
        <f>O60+O61</f>
        <v>7810.5</v>
      </c>
      <c r="P58" s="60">
        <f>P60+P61</f>
        <v>7406.6</v>
      </c>
      <c r="Q58" s="20">
        <f t="shared" si="13"/>
        <v>0.94828756161577366</v>
      </c>
      <c r="R58" s="60">
        <f>R60+R61</f>
        <v>8231.5</v>
      </c>
      <c r="S58" s="60">
        <f>S60+S61</f>
        <v>7807.6</v>
      </c>
      <c r="T58" s="20">
        <f t="shared" si="14"/>
        <v>0.94850270303103934</v>
      </c>
    </row>
    <row r="59" spans="1:21" ht="16.5" hidden="1">
      <c r="A59" s="112"/>
      <c r="B59" s="113" t="s">
        <v>113</v>
      </c>
      <c r="C59" s="60"/>
      <c r="D59" s="60"/>
      <c r="E59" s="60"/>
      <c r="F59" s="60"/>
      <c r="G59" s="60"/>
      <c r="H59" s="60">
        <f t="shared" si="6"/>
        <v>0</v>
      </c>
      <c r="I59" s="107"/>
      <c r="J59" s="30"/>
      <c r="K59" s="20"/>
      <c r="L59" s="21"/>
      <c r="M59" s="22"/>
      <c r="N59" s="17"/>
      <c r="O59" s="60"/>
      <c r="P59" s="30"/>
      <c r="Q59" s="20"/>
      <c r="R59" s="60"/>
      <c r="S59" s="30"/>
      <c r="T59" s="20"/>
    </row>
    <row r="60" spans="1:21" ht="16.5" hidden="1">
      <c r="A60" s="114"/>
      <c r="B60" s="115" t="s">
        <v>116</v>
      </c>
      <c r="C60" s="30">
        <f>5891.9+499.7</f>
        <v>6391.5999999999995</v>
      </c>
      <c r="D60" s="30">
        <v>6698.5</v>
      </c>
      <c r="E60" s="30">
        <v>8344.7000000000007</v>
      </c>
      <c r="F60" s="30">
        <v>5891.9</v>
      </c>
      <c r="G60" s="30">
        <v>8047.9</v>
      </c>
      <c r="H60" s="30">
        <f t="shared" si="6"/>
        <v>296.80000000000109</v>
      </c>
      <c r="I60" s="107">
        <f>G60/G297</f>
        <v>1.3047404429168963E-2</v>
      </c>
      <c r="J60" s="30">
        <v>12054.2</v>
      </c>
      <c r="K60" s="32" t="e">
        <f>IF(#REF!=0,"0,0%",J60/#REF!)</f>
        <v>#REF!</v>
      </c>
      <c r="L60" s="21">
        <f t="shared" si="1"/>
        <v>-296.80000000000109</v>
      </c>
      <c r="M60" s="22">
        <f t="shared" si="2"/>
        <v>0.96443251405083452</v>
      </c>
      <c r="N60" s="17">
        <f t="shared" si="3"/>
        <v>2156</v>
      </c>
      <c r="O60" s="30">
        <v>7460.5</v>
      </c>
      <c r="P60" s="30">
        <f>1401.6+5655</f>
        <v>7056.6</v>
      </c>
      <c r="Q60" s="32">
        <f t="shared" si="13"/>
        <v>0.94586153743046719</v>
      </c>
      <c r="R60" s="30">
        <v>7831.5</v>
      </c>
      <c r="S60" s="30">
        <f>1471.3+5936.3</f>
        <v>7407.6</v>
      </c>
      <c r="T60" s="32">
        <f t="shared" si="14"/>
        <v>0.94587243823022416</v>
      </c>
    </row>
    <row r="61" spans="1:21" ht="49.5" hidden="1">
      <c r="A61" s="114"/>
      <c r="B61" s="115" t="s">
        <v>117</v>
      </c>
      <c r="C61" s="30">
        <v>529.70000000000005</v>
      </c>
      <c r="D61" s="30">
        <v>300</v>
      </c>
      <c r="E61" s="30">
        <v>658.3</v>
      </c>
      <c r="F61" s="30">
        <v>529.70000000000005</v>
      </c>
      <c r="G61" s="30">
        <v>639.79999999999995</v>
      </c>
      <c r="H61" s="30">
        <f t="shared" si="6"/>
        <v>18.5</v>
      </c>
      <c r="I61" s="107">
        <f>G61/G297</f>
        <v>1.0372556013099445E-3</v>
      </c>
      <c r="J61" s="30">
        <f>3432-800-2</f>
        <v>2630</v>
      </c>
      <c r="K61" s="32" t="e">
        <f>IF(#REF!=0,"0,0%",J61/#REF!)</f>
        <v>#REF!</v>
      </c>
      <c r="L61" s="21">
        <f t="shared" si="1"/>
        <v>-18.5</v>
      </c>
      <c r="M61" s="22">
        <f t="shared" si="2"/>
        <v>0.97189731125626611</v>
      </c>
      <c r="N61" s="17">
        <f t="shared" si="3"/>
        <v>110.09999999999991</v>
      </c>
      <c r="O61" s="30">
        <v>350</v>
      </c>
      <c r="P61" s="55">
        <v>350</v>
      </c>
      <c r="Q61" s="32">
        <f t="shared" si="13"/>
        <v>1</v>
      </c>
      <c r="R61" s="30">
        <v>400</v>
      </c>
      <c r="S61" s="55">
        <v>400</v>
      </c>
      <c r="T61" s="32">
        <f t="shared" si="14"/>
        <v>1</v>
      </c>
      <c r="U61" s="3">
        <f>3432-800</f>
        <v>2632</v>
      </c>
    </row>
    <row r="62" spans="1:21" s="61" customFormat="1" ht="49.5">
      <c r="A62" s="112" t="s">
        <v>118</v>
      </c>
      <c r="B62" s="113" t="s">
        <v>119</v>
      </c>
      <c r="C62" s="60">
        <f>C63</f>
        <v>52779.200000000012</v>
      </c>
      <c r="D62" s="60">
        <f>D63</f>
        <v>43010.5</v>
      </c>
      <c r="E62" s="60">
        <f>E63+E68+E69+E70</f>
        <v>37010.6</v>
      </c>
      <c r="F62" s="60">
        <f>F63+F68+F69+F70</f>
        <v>40717.4</v>
      </c>
      <c r="G62" s="60">
        <f>G63+G68+G69+G70</f>
        <v>36389.300000000003</v>
      </c>
      <c r="H62" s="60">
        <f t="shared" si="6"/>
        <v>621.29999999999563</v>
      </c>
      <c r="I62" s="107">
        <f>G62/G297</f>
        <v>5.899500664699589E-2</v>
      </c>
      <c r="J62" s="60">
        <f>J63</f>
        <v>4986.2</v>
      </c>
      <c r="K62" s="20" t="e">
        <f>IF(#REF!=0,"0,0%",J62/#REF!)</f>
        <v>#REF!</v>
      </c>
      <c r="L62" s="21">
        <f t="shared" si="1"/>
        <v>-621.29999999999563</v>
      </c>
      <c r="M62" s="22">
        <f t="shared" si="2"/>
        <v>0.98321291738042627</v>
      </c>
      <c r="N62" s="17">
        <f t="shared" si="3"/>
        <v>-4328.0999999999985</v>
      </c>
      <c r="O62" s="60">
        <f>O63</f>
        <v>46033.9</v>
      </c>
      <c r="P62" s="60">
        <f>P63</f>
        <v>43830.400000000001</v>
      </c>
      <c r="Q62" s="20">
        <f t="shared" si="13"/>
        <v>0.95213310190967959</v>
      </c>
      <c r="R62" s="60">
        <f>R63</f>
        <v>47263.3</v>
      </c>
      <c r="S62" s="60">
        <f>S63</f>
        <v>44950.3</v>
      </c>
      <c r="T62" s="20">
        <f t="shared" si="14"/>
        <v>0.95106139435883652</v>
      </c>
    </row>
    <row r="63" spans="1:21" ht="16.5" hidden="1">
      <c r="A63" s="108"/>
      <c r="B63" s="117" t="s">
        <v>120</v>
      </c>
      <c r="C63" s="98">
        <f>C64+C65+C66+C68+C69+C70</f>
        <v>52779.200000000012</v>
      </c>
      <c r="D63" s="98">
        <f>D64+D65+D66+D68+D69+D70</f>
        <v>43010.5</v>
      </c>
      <c r="E63" s="60">
        <f>E64+E65+E66</f>
        <v>33766.300000000003</v>
      </c>
      <c r="F63" s="60">
        <f>F64+F65+F66</f>
        <v>39092.400000000001</v>
      </c>
      <c r="G63" s="60">
        <f>G64+G65+G66</f>
        <v>33324.9</v>
      </c>
      <c r="H63" s="60">
        <f>H64+H65+H66+H68+H69+H70</f>
        <v>621.30000000000189</v>
      </c>
      <c r="I63" s="107">
        <f>G63/G297</f>
        <v>5.4026944651600142E-2</v>
      </c>
      <c r="J63" s="60">
        <f>J64+J65+J66+J68+J69+J70+J67</f>
        <v>4986.2</v>
      </c>
      <c r="K63" s="20" t="e">
        <f>IF(#REF!=0,"0,0%",J63/#REF!)</f>
        <v>#REF!</v>
      </c>
      <c r="L63" s="21">
        <f t="shared" si="1"/>
        <v>-441.40000000000146</v>
      </c>
      <c r="M63" s="22">
        <f t="shared" si="2"/>
        <v>0.98692779487240234</v>
      </c>
      <c r="N63" s="17">
        <f t="shared" si="3"/>
        <v>-5767.5</v>
      </c>
      <c r="O63" s="60">
        <f>O64+O65+O66</f>
        <v>46033.9</v>
      </c>
      <c r="P63" s="60">
        <f>P64+P65+P66</f>
        <v>43830.400000000001</v>
      </c>
      <c r="Q63" s="20">
        <f t="shared" si="13"/>
        <v>0.95213310190967959</v>
      </c>
      <c r="R63" s="60">
        <f>R64+R65+R66</f>
        <v>47263.3</v>
      </c>
      <c r="S63" s="60">
        <f>S64+S65+S66</f>
        <v>44950.3</v>
      </c>
      <c r="T63" s="20">
        <f t="shared" si="14"/>
        <v>0.95106139435883652</v>
      </c>
    </row>
    <row r="64" spans="1:21" ht="16.5" hidden="1">
      <c r="A64" s="114"/>
      <c r="B64" s="115" t="s">
        <v>116</v>
      </c>
      <c r="C64" s="30">
        <f>29374.1+9757.2</f>
        <v>39131.300000000003</v>
      </c>
      <c r="D64" s="30">
        <f>30906.3</f>
        <v>30906.3</v>
      </c>
      <c r="E64" s="30">
        <v>27183.200000000001</v>
      </c>
      <c r="F64" s="30">
        <v>29374.1</v>
      </c>
      <c r="G64" s="30">
        <v>27175.599999999999</v>
      </c>
      <c r="H64" s="30">
        <f t="shared" si="6"/>
        <v>7.6000000000021828</v>
      </c>
      <c r="I64" s="107">
        <f>G64/G297</f>
        <v>4.4057585681398136E-2</v>
      </c>
      <c r="J64" s="30">
        <v>0</v>
      </c>
      <c r="K64" s="32" t="e">
        <f>IF(#REF!=0,"0,0%",J64/#REF!)</f>
        <v>#REF!</v>
      </c>
      <c r="L64" s="21">
        <f t="shared" si="1"/>
        <v>-7.6000000000021828</v>
      </c>
      <c r="M64" s="22">
        <f t="shared" si="2"/>
        <v>0.99972041555078128</v>
      </c>
      <c r="N64" s="17">
        <f t="shared" si="3"/>
        <v>-2198.5</v>
      </c>
      <c r="O64" s="30">
        <v>34764.6</v>
      </c>
      <c r="P64" s="30">
        <v>32561.1</v>
      </c>
      <c r="Q64" s="32">
        <f t="shared" si="13"/>
        <v>0.93661655822301992</v>
      </c>
      <c r="R64" s="30">
        <v>36495.300000000003</v>
      </c>
      <c r="S64" s="30">
        <v>34182.300000000003</v>
      </c>
      <c r="T64" s="32">
        <f t="shared" si="14"/>
        <v>0.9366219759804687</v>
      </c>
    </row>
    <row r="65" spans="1:20" ht="16.5" hidden="1">
      <c r="A65" s="114" t="s">
        <v>121</v>
      </c>
      <c r="B65" s="115" t="s">
        <v>110</v>
      </c>
      <c r="C65" s="30">
        <f>2948.2+259.6</f>
        <v>3207.7999999999997</v>
      </c>
      <c r="D65" s="30">
        <f>2918.7</f>
        <v>2918.7</v>
      </c>
      <c r="E65" s="30">
        <v>3214.7</v>
      </c>
      <c r="F65" s="30">
        <v>2948.2</v>
      </c>
      <c r="G65" s="30">
        <v>3042.4</v>
      </c>
      <c r="H65" s="30">
        <f t="shared" si="6"/>
        <v>172.29999999999973</v>
      </c>
      <c r="I65" s="107">
        <f>G65/G297</f>
        <v>4.9323951882234689E-3</v>
      </c>
      <c r="J65" s="30">
        <v>0</v>
      </c>
      <c r="K65" s="32" t="e">
        <f>IF(#REF!=0,"0,0%",J65/#REF!)</f>
        <v>#REF!</v>
      </c>
      <c r="L65" s="21">
        <f t="shared" si="1"/>
        <v>-172.29999999999973</v>
      </c>
      <c r="M65" s="22">
        <f t="shared" si="2"/>
        <v>0.94640246368245884</v>
      </c>
      <c r="N65" s="17">
        <f t="shared" si="3"/>
        <v>94.200000000000273</v>
      </c>
      <c r="O65" s="30">
        <v>3223.4</v>
      </c>
      <c r="P65" s="55">
        <v>3223.4</v>
      </c>
      <c r="Q65" s="32">
        <f t="shared" si="13"/>
        <v>1</v>
      </c>
      <c r="R65" s="30">
        <v>3577</v>
      </c>
      <c r="S65" s="55">
        <v>3577</v>
      </c>
      <c r="T65" s="32">
        <f t="shared" si="14"/>
        <v>1</v>
      </c>
    </row>
    <row r="66" spans="1:20" ht="16.5" hidden="1">
      <c r="A66" s="114" t="s">
        <v>121</v>
      </c>
      <c r="B66" s="115" t="s">
        <v>122</v>
      </c>
      <c r="C66" s="30">
        <f>6770.1+1740.2</f>
        <v>8510.3000000000011</v>
      </c>
      <c r="D66" s="30">
        <f>7697</f>
        <v>7697</v>
      </c>
      <c r="E66" s="30">
        <v>3368.4</v>
      </c>
      <c r="F66" s="30">
        <v>6770.1</v>
      </c>
      <c r="G66" s="30">
        <v>3106.9</v>
      </c>
      <c r="H66" s="30">
        <f t="shared" si="6"/>
        <v>261.5</v>
      </c>
      <c r="I66" s="107">
        <f>G66/G297</f>
        <v>5.0369637819785351E-3</v>
      </c>
      <c r="J66" s="30">
        <v>0</v>
      </c>
      <c r="K66" s="32" t="e">
        <f>IF(#REF!=0,"0,0%",J66/#REF!)</f>
        <v>#REF!</v>
      </c>
      <c r="L66" s="21">
        <f t="shared" si="1"/>
        <v>-261.5</v>
      </c>
      <c r="M66" s="22">
        <f t="shared" si="2"/>
        <v>0.92236670229188933</v>
      </c>
      <c r="N66" s="17">
        <f t="shared" si="3"/>
        <v>-3663.2000000000003</v>
      </c>
      <c r="O66" s="30">
        <v>8045.9</v>
      </c>
      <c r="P66" s="55">
        <v>8045.9</v>
      </c>
      <c r="Q66" s="32">
        <f t="shared" si="13"/>
        <v>1</v>
      </c>
      <c r="R66" s="30">
        <v>7191</v>
      </c>
      <c r="S66" s="55">
        <v>7191</v>
      </c>
      <c r="T66" s="32">
        <f t="shared" si="14"/>
        <v>1</v>
      </c>
    </row>
    <row r="67" spans="1:20" ht="49.5" hidden="1">
      <c r="A67" s="114"/>
      <c r="B67" s="115" t="s">
        <v>123</v>
      </c>
      <c r="C67" s="30"/>
      <c r="D67" s="30">
        <v>0</v>
      </c>
      <c r="E67" s="30">
        <v>0</v>
      </c>
      <c r="F67" s="30">
        <v>0</v>
      </c>
      <c r="G67" s="30"/>
      <c r="H67" s="30"/>
      <c r="I67" s="107">
        <f>G67/G297</f>
        <v>0</v>
      </c>
      <c r="J67" s="30">
        <v>2251.1999999999998</v>
      </c>
      <c r="K67" s="32" t="e">
        <f>IF(#REF!=0,"0,0%",J67/#REF!)</f>
        <v>#REF!</v>
      </c>
      <c r="L67" s="21">
        <f t="shared" si="1"/>
        <v>0</v>
      </c>
      <c r="M67" s="22" t="e">
        <f t="shared" si="2"/>
        <v>#DIV/0!</v>
      </c>
      <c r="N67" s="17">
        <f t="shared" si="3"/>
        <v>0</v>
      </c>
      <c r="O67" s="30"/>
      <c r="P67" s="55"/>
      <c r="Q67" s="32"/>
      <c r="R67" s="30"/>
      <c r="S67" s="55"/>
      <c r="T67" s="32"/>
    </row>
    <row r="68" spans="1:20" ht="16.5" hidden="1">
      <c r="A68" s="114"/>
      <c r="B68" s="118" t="s">
        <v>124</v>
      </c>
      <c r="C68" s="30">
        <f>1625+304.8</f>
        <v>1929.8</v>
      </c>
      <c r="D68" s="30">
        <f>1488.5</f>
        <v>1488.5</v>
      </c>
      <c r="E68" s="30">
        <v>1611</v>
      </c>
      <c r="F68" s="30">
        <v>1625</v>
      </c>
      <c r="G68" s="30">
        <v>1538.5</v>
      </c>
      <c r="H68" s="30">
        <f t="shared" si="6"/>
        <v>72.5</v>
      </c>
      <c r="I68" s="107">
        <f>G68/G297</f>
        <v>2.4942446742972019E-3</v>
      </c>
      <c r="J68" s="30">
        <v>2401.8000000000002</v>
      </c>
      <c r="K68" s="32" t="e">
        <f>IF(#REF!=0,"0,0%",J68/#REF!)</f>
        <v>#REF!</v>
      </c>
      <c r="L68" s="21">
        <f t="shared" si="1"/>
        <v>-72.5</v>
      </c>
      <c r="M68" s="22">
        <f t="shared" si="2"/>
        <v>0.95499689633767848</v>
      </c>
      <c r="N68" s="17">
        <f t="shared" si="3"/>
        <v>-86.5</v>
      </c>
      <c r="O68" s="30"/>
      <c r="P68" s="55"/>
      <c r="Q68" s="32"/>
      <c r="R68" s="30"/>
      <c r="S68" s="55"/>
      <c r="T68" s="32"/>
    </row>
    <row r="69" spans="1:20" ht="16.5" hidden="1">
      <c r="A69" s="114"/>
      <c r="B69" s="118" t="s">
        <v>125</v>
      </c>
      <c r="C69" s="30">
        <v>0</v>
      </c>
      <c r="D69" s="30">
        <v>0</v>
      </c>
      <c r="E69" s="30">
        <v>229.2</v>
      </c>
      <c r="F69" s="30">
        <v>0</v>
      </c>
      <c r="G69" s="30">
        <v>209.1</v>
      </c>
      <c r="H69" s="30">
        <f t="shared" si="6"/>
        <v>20.099999999999994</v>
      </c>
      <c r="I69" s="107">
        <f>G69/G297</f>
        <v>3.389967899873545E-4</v>
      </c>
      <c r="J69" s="55">
        <v>333.2</v>
      </c>
      <c r="K69" s="32" t="e">
        <f>IF(#REF!=0,"0,0%",J69/#REF!)</f>
        <v>#REF!</v>
      </c>
      <c r="L69" s="21">
        <f t="shared" si="1"/>
        <v>-20.099999999999994</v>
      </c>
      <c r="M69" s="22">
        <f t="shared" si="2"/>
        <v>0.91230366492146597</v>
      </c>
      <c r="N69" s="17">
        <f t="shared" si="3"/>
        <v>209.1</v>
      </c>
      <c r="O69" s="30"/>
      <c r="P69" s="55"/>
      <c r="Q69" s="32"/>
      <c r="R69" s="30"/>
      <c r="S69" s="55"/>
      <c r="T69" s="32"/>
    </row>
    <row r="70" spans="1:20" ht="33" hidden="1">
      <c r="A70" s="114"/>
      <c r="B70" s="118" t="s">
        <v>126</v>
      </c>
      <c r="C70" s="30">
        <v>0</v>
      </c>
      <c r="D70" s="30">
        <v>0</v>
      </c>
      <c r="E70" s="30">
        <v>1404.1</v>
      </c>
      <c r="F70" s="30">
        <v>0</v>
      </c>
      <c r="G70" s="30">
        <v>1316.8</v>
      </c>
      <c r="H70" s="30">
        <f t="shared" si="6"/>
        <v>87.299999999999955</v>
      </c>
      <c r="I70" s="107">
        <f>G70/G297</f>
        <v>2.1348205311111832E-3</v>
      </c>
      <c r="J70" s="55">
        <v>0</v>
      </c>
      <c r="K70" s="32" t="e">
        <f>IF(#REF!=0,"0,0%",J70/#REF!)</f>
        <v>#REF!</v>
      </c>
      <c r="L70" s="21">
        <f t="shared" ref="L70:L133" si="18">G70-E70</f>
        <v>-87.299999999999955</v>
      </c>
      <c r="M70" s="22">
        <f t="shared" ref="M70:M133" si="19">G70/E70</f>
        <v>0.93782494124350124</v>
      </c>
      <c r="N70" s="17">
        <f t="shared" ref="N70:N133" si="20">G70-F70</f>
        <v>1316.8</v>
      </c>
      <c r="O70" s="30"/>
      <c r="P70" s="55"/>
      <c r="Q70" s="32"/>
      <c r="R70" s="30"/>
      <c r="S70" s="55"/>
      <c r="T70" s="32"/>
    </row>
    <row r="71" spans="1:20" ht="49.5">
      <c r="A71" s="112" t="s">
        <v>127</v>
      </c>
      <c r="B71" s="113" t="s">
        <v>128</v>
      </c>
      <c r="C71" s="60">
        <f>C72</f>
        <v>5302</v>
      </c>
      <c r="D71" s="60">
        <f>D72</f>
        <v>5833.2999999999993</v>
      </c>
      <c r="E71" s="60">
        <f>E72+E76</f>
        <v>6056.6</v>
      </c>
      <c r="F71" s="60">
        <f>F72+F76</f>
        <v>5302</v>
      </c>
      <c r="G71" s="60">
        <f>G72+G76</f>
        <v>6053.5</v>
      </c>
      <c r="H71" s="60">
        <f t="shared" si="6"/>
        <v>3.1000000000003638</v>
      </c>
      <c r="I71" s="107">
        <f>G71/G297</f>
        <v>9.8140462371518432E-3</v>
      </c>
      <c r="J71" s="60">
        <f>J72</f>
        <v>184.2</v>
      </c>
      <c r="K71" s="20" t="e">
        <f>IF(#REF!=0,"0,0%",J71/#REF!)</f>
        <v>#REF!</v>
      </c>
      <c r="L71" s="21">
        <f t="shared" si="18"/>
        <v>-3.1000000000003638</v>
      </c>
      <c r="M71" s="22">
        <f t="shared" si="19"/>
        <v>0.99948816167486698</v>
      </c>
      <c r="N71" s="17">
        <f t="shared" si="20"/>
        <v>751.5</v>
      </c>
      <c r="O71" s="60">
        <f>O72</f>
        <v>6554.5999999999995</v>
      </c>
      <c r="P71" s="60">
        <f>P72</f>
        <v>6146.7</v>
      </c>
      <c r="Q71" s="20">
        <f t="shared" si="13"/>
        <v>0.93776889512708639</v>
      </c>
      <c r="R71" s="60">
        <f>R72</f>
        <v>6880.9000000000005</v>
      </c>
      <c r="S71" s="60">
        <f>S72</f>
        <v>6452.7000000000007</v>
      </c>
      <c r="T71" s="20">
        <f t="shared" si="14"/>
        <v>0.93776976848958715</v>
      </c>
    </row>
    <row r="72" spans="1:20" ht="16.5" hidden="1">
      <c r="A72" s="112"/>
      <c r="B72" s="113" t="s">
        <v>129</v>
      </c>
      <c r="C72" s="60">
        <f>C73+C74</f>
        <v>5302</v>
      </c>
      <c r="D72" s="60">
        <f>D73+D74</f>
        <v>5833.2999999999993</v>
      </c>
      <c r="E72" s="60">
        <f>E73+E74</f>
        <v>5194.4000000000005</v>
      </c>
      <c r="F72" s="60">
        <f>F73+F74</f>
        <v>5302</v>
      </c>
      <c r="G72" s="60">
        <f>G73+G74</f>
        <v>5191.3</v>
      </c>
      <c r="H72" s="60">
        <f t="shared" si="6"/>
        <v>3.1000000000003638</v>
      </c>
      <c r="I72" s="107">
        <f>G72/G297</f>
        <v>8.4162316397003983E-3</v>
      </c>
      <c r="J72" s="60">
        <f>J73+J74+J75</f>
        <v>184.2</v>
      </c>
      <c r="K72" s="20" t="e">
        <f>IF(#REF!=0,"0,0%",J72/#REF!)</f>
        <v>#REF!</v>
      </c>
      <c r="L72" s="21">
        <f t="shared" si="18"/>
        <v>-3.1000000000003638</v>
      </c>
      <c r="M72" s="22">
        <f t="shared" si="19"/>
        <v>0.99940320344986899</v>
      </c>
      <c r="N72" s="17">
        <f t="shared" si="20"/>
        <v>-110.69999999999982</v>
      </c>
      <c r="O72" s="60">
        <f>O73+O74</f>
        <v>6554.5999999999995</v>
      </c>
      <c r="P72" s="60">
        <f>P73+P74</f>
        <v>6146.7</v>
      </c>
      <c r="Q72" s="20">
        <f t="shared" si="13"/>
        <v>0.93776889512708639</v>
      </c>
      <c r="R72" s="60">
        <f>R73+R74</f>
        <v>6880.9000000000005</v>
      </c>
      <c r="S72" s="60">
        <f>S73+S74</f>
        <v>6452.7000000000007</v>
      </c>
      <c r="T72" s="20">
        <f t="shared" si="14"/>
        <v>0.93776976848958715</v>
      </c>
    </row>
    <row r="73" spans="1:20" ht="16.5" hidden="1">
      <c r="A73" s="114"/>
      <c r="B73" s="115" t="s">
        <v>116</v>
      </c>
      <c r="C73" s="30">
        <v>4853.5</v>
      </c>
      <c r="D73" s="30">
        <v>5420.4</v>
      </c>
      <c r="E73" s="30">
        <v>4717.3</v>
      </c>
      <c r="F73" s="30">
        <v>4853.5</v>
      </c>
      <c r="G73" s="30">
        <v>4717.3</v>
      </c>
      <c r="H73" s="30">
        <f t="shared" si="6"/>
        <v>0</v>
      </c>
      <c r="I73" s="107">
        <f>G73/G297</f>
        <v>7.6477740669887492E-3</v>
      </c>
      <c r="J73" s="30">
        <v>0</v>
      </c>
      <c r="K73" s="32" t="e">
        <f>IF(#REF!=0,"0,0%",J73/#REF!)</f>
        <v>#REF!</v>
      </c>
      <c r="L73" s="21">
        <f t="shared" si="18"/>
        <v>0</v>
      </c>
      <c r="M73" s="22">
        <f t="shared" si="19"/>
        <v>1</v>
      </c>
      <c r="N73" s="17">
        <f t="shared" si="20"/>
        <v>-136.19999999999982</v>
      </c>
      <c r="O73" s="30">
        <v>6118.2</v>
      </c>
      <c r="P73" s="30">
        <v>5710.3</v>
      </c>
      <c r="Q73" s="32">
        <f t="shared" si="13"/>
        <v>0.93333006439802557</v>
      </c>
      <c r="R73" s="30">
        <v>6422.8</v>
      </c>
      <c r="S73" s="30">
        <v>5994.6</v>
      </c>
      <c r="T73" s="32">
        <f t="shared" si="14"/>
        <v>0.93333125739552847</v>
      </c>
    </row>
    <row r="74" spans="1:20" ht="16.5" hidden="1">
      <c r="A74" s="114"/>
      <c r="B74" s="115" t="s">
        <v>122</v>
      </c>
      <c r="C74" s="30">
        <v>448.5</v>
      </c>
      <c r="D74" s="30">
        <f>412.9</f>
        <v>412.9</v>
      </c>
      <c r="E74" s="30">
        <v>477.1</v>
      </c>
      <c r="F74" s="30">
        <v>448.5</v>
      </c>
      <c r="G74" s="30">
        <v>474</v>
      </c>
      <c r="H74" s="30">
        <f t="shared" si="6"/>
        <v>3.1000000000000227</v>
      </c>
      <c r="I74" s="107">
        <f>G74/G297</f>
        <v>7.6845757271165008E-4</v>
      </c>
      <c r="J74" s="55">
        <v>0</v>
      </c>
      <c r="K74" s="32" t="e">
        <f>IF(#REF!=0,"0,0%",J74/#REF!)</f>
        <v>#REF!</v>
      </c>
      <c r="L74" s="21">
        <f t="shared" si="18"/>
        <v>-3.1000000000000227</v>
      </c>
      <c r="M74" s="22">
        <f t="shared" si="19"/>
        <v>0.99350241039614329</v>
      </c>
      <c r="N74" s="17">
        <f t="shared" si="20"/>
        <v>25.5</v>
      </c>
      <c r="O74" s="30">
        <v>436.4</v>
      </c>
      <c r="P74" s="55">
        <v>436.4</v>
      </c>
      <c r="Q74" s="32">
        <f t="shared" si="13"/>
        <v>1</v>
      </c>
      <c r="R74" s="30">
        <v>458.1</v>
      </c>
      <c r="S74" s="55">
        <v>458.1</v>
      </c>
      <c r="T74" s="32">
        <f t="shared" si="14"/>
        <v>1</v>
      </c>
    </row>
    <row r="75" spans="1:20" ht="49.5" hidden="1">
      <c r="A75" s="114"/>
      <c r="B75" s="115" t="s">
        <v>123</v>
      </c>
      <c r="C75" s="30"/>
      <c r="D75" s="30">
        <v>0</v>
      </c>
      <c r="E75" s="30">
        <v>0</v>
      </c>
      <c r="F75" s="30">
        <v>0</v>
      </c>
      <c r="G75" s="30"/>
      <c r="H75" s="30">
        <f t="shared" si="6"/>
        <v>0</v>
      </c>
      <c r="I75" s="107">
        <f>G75/G297</f>
        <v>0</v>
      </c>
      <c r="J75" s="55">
        <v>184.2</v>
      </c>
      <c r="K75" s="32"/>
      <c r="L75" s="21">
        <f t="shared" si="18"/>
        <v>0</v>
      </c>
      <c r="M75" s="22" t="e">
        <f t="shared" si="19"/>
        <v>#DIV/0!</v>
      </c>
      <c r="N75" s="17">
        <f t="shared" si="20"/>
        <v>0</v>
      </c>
      <c r="O75" s="30"/>
      <c r="P75" s="55"/>
      <c r="Q75" s="32"/>
      <c r="R75" s="30"/>
      <c r="S75" s="55"/>
      <c r="T75" s="32"/>
    </row>
    <row r="76" spans="1:20" ht="16.5" hidden="1">
      <c r="A76" s="114"/>
      <c r="B76" s="118" t="s">
        <v>130</v>
      </c>
      <c r="C76" s="30">
        <v>0</v>
      </c>
      <c r="D76" s="30">
        <v>0</v>
      </c>
      <c r="E76" s="30">
        <v>862.2</v>
      </c>
      <c r="F76" s="30">
        <v>0</v>
      </c>
      <c r="G76" s="30">
        <v>862.2</v>
      </c>
      <c r="H76" s="30">
        <f t="shared" si="6"/>
        <v>0</v>
      </c>
      <c r="I76" s="107">
        <f>G76/G297</f>
        <v>1.3978145974514445E-3</v>
      </c>
      <c r="J76" s="55">
        <v>0</v>
      </c>
      <c r="K76" s="32" t="e">
        <f>IF(#REF!=0,"0,0%",J76/#REF!)</f>
        <v>#REF!</v>
      </c>
      <c r="L76" s="21">
        <f t="shared" si="18"/>
        <v>0</v>
      </c>
      <c r="M76" s="22">
        <f t="shared" si="19"/>
        <v>1</v>
      </c>
      <c r="N76" s="17">
        <f t="shared" si="20"/>
        <v>862.2</v>
      </c>
      <c r="O76" s="30"/>
      <c r="P76" s="55"/>
      <c r="Q76" s="32"/>
      <c r="R76" s="30"/>
      <c r="S76" s="55"/>
      <c r="T76" s="32"/>
    </row>
    <row r="77" spans="1:20" ht="33">
      <c r="A77" s="112" t="s">
        <v>131</v>
      </c>
      <c r="B77" s="116" t="s">
        <v>132</v>
      </c>
      <c r="C77" s="60">
        <v>0</v>
      </c>
      <c r="D77" s="60">
        <f>4384.5</f>
        <v>4384.5</v>
      </c>
      <c r="E77" s="60">
        <v>4648.5</v>
      </c>
      <c r="F77" s="60">
        <v>0</v>
      </c>
      <c r="G77" s="60">
        <v>4648</v>
      </c>
      <c r="H77" s="60">
        <f t="shared" si="6"/>
        <v>0.5</v>
      </c>
      <c r="I77" s="107">
        <f>G77/G297</f>
        <v>7.5354236243960959E-3</v>
      </c>
      <c r="J77" s="48">
        <v>0</v>
      </c>
      <c r="K77" s="20" t="e">
        <f>IF(#REF!=0,"0,0%",J77/#REF!)</f>
        <v>#REF!</v>
      </c>
      <c r="L77" s="21">
        <f t="shared" si="18"/>
        <v>-0.5</v>
      </c>
      <c r="M77" s="22">
        <f t="shared" si="19"/>
        <v>0.99989243842099607</v>
      </c>
      <c r="N77" s="17">
        <f t="shared" si="20"/>
        <v>4648</v>
      </c>
      <c r="O77" s="48">
        <v>0</v>
      </c>
      <c r="P77" s="48">
        <v>0</v>
      </c>
      <c r="Q77" s="20" t="str">
        <f t="shared" si="13"/>
        <v>0,0%</v>
      </c>
      <c r="R77" s="48">
        <v>0</v>
      </c>
      <c r="S77" s="48">
        <v>0</v>
      </c>
      <c r="T77" s="20" t="str">
        <f t="shared" si="14"/>
        <v>0,0%</v>
      </c>
    </row>
    <row r="78" spans="1:20" ht="16.5">
      <c r="A78" s="112" t="s">
        <v>133</v>
      </c>
      <c r="B78" s="116" t="s">
        <v>134</v>
      </c>
      <c r="C78" s="60">
        <v>0</v>
      </c>
      <c r="D78" s="60">
        <f>1930</f>
        <v>1930</v>
      </c>
      <c r="E78" s="60">
        <v>0</v>
      </c>
      <c r="F78" s="60">
        <v>0</v>
      </c>
      <c r="G78" s="60">
        <v>0</v>
      </c>
      <c r="H78" s="60">
        <f t="shared" si="6"/>
        <v>0</v>
      </c>
      <c r="I78" s="107">
        <f>G78/G297</f>
        <v>0</v>
      </c>
      <c r="J78" s="60">
        <v>5000</v>
      </c>
      <c r="K78" s="20" t="e">
        <f>IF(#REF!=0,"0,0%",J78/#REF!)</f>
        <v>#REF!</v>
      </c>
      <c r="L78" s="21">
        <f t="shared" si="18"/>
        <v>0</v>
      </c>
      <c r="M78" s="22">
        <v>0</v>
      </c>
      <c r="N78" s="17">
        <f t="shared" si="20"/>
        <v>0</v>
      </c>
      <c r="O78" s="48">
        <v>2330</v>
      </c>
      <c r="P78" s="60">
        <v>1930</v>
      </c>
      <c r="Q78" s="20">
        <f t="shared" si="13"/>
        <v>0.8283261802575107</v>
      </c>
      <c r="R78" s="48">
        <v>2330</v>
      </c>
      <c r="S78" s="60">
        <v>1930</v>
      </c>
      <c r="T78" s="20">
        <f t="shared" si="14"/>
        <v>0.8283261802575107</v>
      </c>
    </row>
    <row r="79" spans="1:20" ht="16.5">
      <c r="A79" s="112" t="s">
        <v>135</v>
      </c>
      <c r="B79" s="116" t="s">
        <v>136</v>
      </c>
      <c r="C79" s="60">
        <f>23655.4+317.3</f>
        <v>23972.7</v>
      </c>
      <c r="D79" s="60">
        <v>20104.2</v>
      </c>
      <c r="E79" s="60">
        <v>23031.9</v>
      </c>
      <c r="F79" s="60">
        <v>23655.3</v>
      </c>
      <c r="G79" s="60">
        <v>20527.900000000001</v>
      </c>
      <c r="H79" s="60">
        <f t="shared" si="6"/>
        <v>2504</v>
      </c>
      <c r="I79" s="107">
        <f>G79/G297</f>
        <v>3.3280211406893426E-2</v>
      </c>
      <c r="J79" s="60">
        <f>J80+J98+J99+J101+J102+J95+J96+J97+J100+J110+J111</f>
        <v>3047</v>
      </c>
      <c r="K79" s="20" t="e">
        <f>IF(#REF!=0,"0,0%",J79/#REF!)</f>
        <v>#REF!</v>
      </c>
      <c r="L79" s="21">
        <f t="shared" si="18"/>
        <v>-2504</v>
      </c>
      <c r="M79" s="22">
        <f t="shared" si="19"/>
        <v>0.89128122299940515</v>
      </c>
      <c r="N79" s="17">
        <f t="shared" si="20"/>
        <v>-3127.3999999999978</v>
      </c>
      <c r="O79" s="60" t="e">
        <f>O80+O98+O99+O101+O102+O95+O96</f>
        <v>#REF!</v>
      </c>
      <c r="P79" s="60" t="e">
        <f>P80+P98+P99+P101+P102+P95+P96</f>
        <v>#REF!</v>
      </c>
      <c r="Q79" s="20" t="e">
        <f t="shared" si="13"/>
        <v>#REF!</v>
      </c>
      <c r="R79" s="60" t="e">
        <f>R80+R98+R99+R101+R102+R95+R96</f>
        <v>#REF!</v>
      </c>
      <c r="S79" s="60" t="e">
        <f>S80+S98+S99+S101+S102+S95+S96</f>
        <v>#REF!</v>
      </c>
      <c r="T79" s="20" t="e">
        <f t="shared" si="14"/>
        <v>#REF!</v>
      </c>
    </row>
    <row r="80" spans="1:20" ht="16.5" hidden="1">
      <c r="A80" s="119"/>
      <c r="B80" s="109" t="s">
        <v>137</v>
      </c>
      <c r="C80" s="98">
        <f>C81+C92</f>
        <v>20129.5</v>
      </c>
      <c r="D80" s="98">
        <f>D81+D92</f>
        <v>18112.599999999999</v>
      </c>
      <c r="E80" s="60">
        <f>E81+E92</f>
        <v>16468.400000000001</v>
      </c>
      <c r="F80" s="60">
        <f>F81+F92</f>
        <v>20129.5</v>
      </c>
      <c r="G80" s="60">
        <f>G81+G92</f>
        <v>14255.6</v>
      </c>
      <c r="H80" s="60">
        <f t="shared" si="6"/>
        <v>2212.8000000000011</v>
      </c>
      <c r="I80" s="107">
        <f>G80/G297</f>
        <v>2.3111442560228269E-2</v>
      </c>
      <c r="J80" s="60">
        <f>J81+J94</f>
        <v>500</v>
      </c>
      <c r="K80" s="20" t="e">
        <f>IF(#REF!=0,"0,0%",J80/#REF!)</f>
        <v>#REF!</v>
      </c>
      <c r="L80" s="21">
        <f t="shared" si="18"/>
        <v>-2212.8000000000011</v>
      </c>
      <c r="M80" s="22">
        <f t="shared" si="19"/>
        <v>0.86563357703237709</v>
      </c>
      <c r="N80" s="17">
        <f t="shared" si="20"/>
        <v>-5873.9</v>
      </c>
      <c r="O80" s="120">
        <f>O81+O94</f>
        <v>14439</v>
      </c>
      <c r="P80" s="120">
        <f>P81+P94</f>
        <v>13557.5</v>
      </c>
      <c r="Q80" s="20">
        <f t="shared" si="13"/>
        <v>0.93895006579403006</v>
      </c>
      <c r="R80" s="120">
        <f>R81+R94</f>
        <v>15158.9</v>
      </c>
      <c r="S80" s="120">
        <f>S81+S94</f>
        <v>14235.199999999999</v>
      </c>
      <c r="T80" s="20">
        <f t="shared" si="14"/>
        <v>0.93906549947555551</v>
      </c>
    </row>
    <row r="81" spans="1:20" ht="16.5" hidden="1">
      <c r="A81" s="8">
        <v>611</v>
      </c>
      <c r="B81" s="121" t="s">
        <v>138</v>
      </c>
      <c r="C81" s="30">
        <v>10731.2</v>
      </c>
      <c r="D81" s="30">
        <v>14434.9</v>
      </c>
      <c r="E81" s="30">
        <f>12790.7</f>
        <v>12790.7</v>
      </c>
      <c r="F81" s="30">
        <v>10731.2</v>
      </c>
      <c r="G81" s="30">
        <v>11006</v>
      </c>
      <c r="H81" s="30">
        <f t="shared" si="6"/>
        <v>1784.7000000000007</v>
      </c>
      <c r="I81" s="107">
        <f>G81/G297</f>
        <v>1.7843130897182324E-2</v>
      </c>
      <c r="J81" s="30">
        <v>0</v>
      </c>
      <c r="K81" s="32" t="e">
        <f>IF(#REF!=0,"0,0%",J81/#REF!)</f>
        <v>#REF!</v>
      </c>
      <c r="L81" s="21">
        <f t="shared" si="18"/>
        <v>-1784.7000000000007</v>
      </c>
      <c r="M81" s="22">
        <f t="shared" si="19"/>
        <v>0.86046893446019368</v>
      </c>
      <c r="N81" s="17">
        <f t="shared" si="20"/>
        <v>274.79999999999927</v>
      </c>
      <c r="O81" s="122">
        <f>O83+O84+O85+O86+O87+O88+O89+O90+O91</f>
        <v>13594.2</v>
      </c>
      <c r="P81" s="122">
        <f>P83+P84+P85+P86+P87+P88+P89+P90+P91</f>
        <v>13557.5</v>
      </c>
      <c r="Q81" s="32">
        <f t="shared" si="13"/>
        <v>0.99730031925379936</v>
      </c>
      <c r="R81" s="122">
        <f>R83+R84+R85+R86+R87+R88+R89+R90+R91</f>
        <v>14271.9</v>
      </c>
      <c r="S81" s="122">
        <f>S83+S84+S85+S86+S87+S88+S89+S90+S91</f>
        <v>14235.199999999999</v>
      </c>
      <c r="T81" s="32">
        <f t="shared" si="14"/>
        <v>0.9974285133724311</v>
      </c>
    </row>
    <row r="82" spans="1:20" ht="16.5" hidden="1">
      <c r="A82" s="8"/>
      <c r="B82" s="40" t="s">
        <v>139</v>
      </c>
      <c r="C82" s="30"/>
      <c r="D82" s="30"/>
      <c r="E82" s="30"/>
      <c r="F82" s="30"/>
      <c r="G82" s="30"/>
      <c r="H82" s="30">
        <f t="shared" si="6"/>
        <v>0</v>
      </c>
      <c r="I82" s="107" t="e">
        <f t="shared" ref="I82:I112" si="21">G82/G84</f>
        <v>#DIV/0!</v>
      </c>
      <c r="J82" s="30"/>
      <c r="K82" s="32"/>
      <c r="L82" s="21">
        <f t="shared" si="18"/>
        <v>0</v>
      </c>
      <c r="M82" s="22" t="e">
        <f t="shared" si="19"/>
        <v>#DIV/0!</v>
      </c>
      <c r="N82" s="17">
        <f t="shared" si="20"/>
        <v>0</v>
      </c>
      <c r="O82" s="122"/>
      <c r="P82" s="122"/>
      <c r="Q82" s="32"/>
      <c r="R82" s="122"/>
      <c r="S82" s="122"/>
      <c r="T82" s="32"/>
    </row>
    <row r="83" spans="1:20" ht="16.5" hidden="1">
      <c r="A83" s="13">
        <v>211</v>
      </c>
      <c r="B83" s="40" t="s">
        <v>140</v>
      </c>
      <c r="C83" s="55"/>
      <c r="D83" s="55"/>
      <c r="E83" s="55"/>
      <c r="F83" s="55"/>
      <c r="G83" s="55"/>
      <c r="H83" s="55">
        <f t="shared" si="6"/>
        <v>0</v>
      </c>
      <c r="I83" s="107" t="e">
        <f t="shared" si="21"/>
        <v>#DIV/0!</v>
      </c>
      <c r="J83" s="55"/>
      <c r="K83" s="32" t="e">
        <f>IF(#REF!=0,"0,0%",J83/#REF!)</f>
        <v>#REF!</v>
      </c>
      <c r="L83" s="21">
        <f t="shared" si="18"/>
        <v>0</v>
      </c>
      <c r="M83" s="22" t="e">
        <f t="shared" si="19"/>
        <v>#DIV/0!</v>
      </c>
      <c r="N83" s="17">
        <f t="shared" si="20"/>
        <v>0</v>
      </c>
      <c r="O83" s="55">
        <v>5846.2</v>
      </c>
      <c r="P83" s="55">
        <v>5846.2</v>
      </c>
      <c r="Q83" s="32">
        <f t="shared" si="13"/>
        <v>1</v>
      </c>
      <c r="R83" s="55">
        <v>6141.3</v>
      </c>
      <c r="S83" s="55">
        <v>6141.3</v>
      </c>
      <c r="T83" s="32">
        <f t="shared" si="14"/>
        <v>1</v>
      </c>
    </row>
    <row r="84" spans="1:20" ht="16.5" hidden="1">
      <c r="A84" s="13">
        <v>213</v>
      </c>
      <c r="B84" s="40" t="s">
        <v>141</v>
      </c>
      <c r="C84" s="55"/>
      <c r="D84" s="55"/>
      <c r="E84" s="55"/>
      <c r="F84" s="55"/>
      <c r="G84" s="55"/>
      <c r="H84" s="55">
        <f t="shared" si="6"/>
        <v>0</v>
      </c>
      <c r="I84" s="107" t="e">
        <f t="shared" si="21"/>
        <v>#DIV/0!</v>
      </c>
      <c r="J84" s="55"/>
      <c r="K84" s="32" t="e">
        <f>IF(#REF!=0,"0,0%",J84/#REF!)</f>
        <v>#REF!</v>
      </c>
      <c r="L84" s="21">
        <f t="shared" si="18"/>
        <v>0</v>
      </c>
      <c r="M84" s="22" t="e">
        <f t="shared" si="19"/>
        <v>#DIV/0!</v>
      </c>
      <c r="N84" s="17">
        <f t="shared" si="20"/>
        <v>0</v>
      </c>
      <c r="O84" s="55">
        <v>1765.6</v>
      </c>
      <c r="P84" s="55">
        <v>1765.6</v>
      </c>
      <c r="Q84" s="32">
        <f t="shared" si="13"/>
        <v>1</v>
      </c>
      <c r="R84" s="55">
        <v>1854.7</v>
      </c>
      <c r="S84" s="55">
        <v>1854.7</v>
      </c>
      <c r="T84" s="32">
        <f t="shared" si="14"/>
        <v>1</v>
      </c>
    </row>
    <row r="85" spans="1:20" ht="16.5" hidden="1">
      <c r="A85" s="13">
        <v>221</v>
      </c>
      <c r="B85" s="40" t="s">
        <v>142</v>
      </c>
      <c r="C85" s="55"/>
      <c r="D85" s="55"/>
      <c r="E85" s="55"/>
      <c r="F85" s="55"/>
      <c r="G85" s="55"/>
      <c r="H85" s="55">
        <f t="shared" si="6"/>
        <v>0</v>
      </c>
      <c r="I85" s="107" t="e">
        <f t="shared" si="21"/>
        <v>#DIV/0!</v>
      </c>
      <c r="J85" s="55"/>
      <c r="K85" s="32" t="e">
        <f>IF(#REF!=0,"0,0%",J85/#REF!)</f>
        <v>#REF!</v>
      </c>
      <c r="L85" s="21">
        <f t="shared" si="18"/>
        <v>0</v>
      </c>
      <c r="M85" s="22" t="e">
        <f t="shared" si="19"/>
        <v>#DIV/0!</v>
      </c>
      <c r="N85" s="17">
        <f t="shared" si="20"/>
        <v>0</v>
      </c>
      <c r="O85" s="55">
        <v>0</v>
      </c>
      <c r="P85" s="55">
        <v>0</v>
      </c>
      <c r="Q85" s="32" t="str">
        <f t="shared" si="13"/>
        <v>0,0%</v>
      </c>
      <c r="R85" s="55">
        <v>0</v>
      </c>
      <c r="S85" s="55">
        <v>0</v>
      </c>
      <c r="T85" s="32" t="str">
        <f t="shared" si="14"/>
        <v>0,0%</v>
      </c>
    </row>
    <row r="86" spans="1:20" ht="16.5" hidden="1">
      <c r="A86" s="13">
        <v>223</v>
      </c>
      <c r="B86" s="40" t="s">
        <v>143</v>
      </c>
      <c r="C86" s="55"/>
      <c r="D86" s="55"/>
      <c r="E86" s="55"/>
      <c r="F86" s="55"/>
      <c r="G86" s="55"/>
      <c r="H86" s="55">
        <f t="shared" si="6"/>
        <v>0</v>
      </c>
      <c r="I86" s="107" t="e">
        <f t="shared" si="21"/>
        <v>#DIV/0!</v>
      </c>
      <c r="J86" s="55"/>
      <c r="K86" s="32" t="e">
        <f>IF(#REF!=0,"0,0%",J86/#REF!)</f>
        <v>#REF!</v>
      </c>
      <c r="L86" s="21">
        <f t="shared" si="18"/>
        <v>0</v>
      </c>
      <c r="M86" s="22" t="e">
        <f t="shared" si="19"/>
        <v>#DIV/0!</v>
      </c>
      <c r="N86" s="17">
        <f t="shared" si="20"/>
        <v>0</v>
      </c>
      <c r="O86" s="55">
        <v>0</v>
      </c>
      <c r="P86" s="55">
        <v>0</v>
      </c>
      <c r="Q86" s="32" t="str">
        <f t="shared" si="13"/>
        <v>0,0%</v>
      </c>
      <c r="R86" s="55">
        <v>0</v>
      </c>
      <c r="S86" s="55">
        <v>0</v>
      </c>
      <c r="T86" s="32" t="str">
        <f t="shared" si="14"/>
        <v>0,0%</v>
      </c>
    </row>
    <row r="87" spans="1:20" ht="16.5" hidden="1">
      <c r="A87" s="8">
        <v>225</v>
      </c>
      <c r="B87" s="40" t="s">
        <v>144</v>
      </c>
      <c r="C87" s="55"/>
      <c r="D87" s="55"/>
      <c r="E87" s="55"/>
      <c r="F87" s="55"/>
      <c r="G87" s="55"/>
      <c r="H87" s="55">
        <f t="shared" si="6"/>
        <v>0</v>
      </c>
      <c r="I87" s="107" t="e">
        <f t="shared" si="21"/>
        <v>#DIV/0!</v>
      </c>
      <c r="J87" s="55"/>
      <c r="K87" s="32" t="e">
        <f>IF(#REF!=0,"0,0%",J87/#REF!)</f>
        <v>#REF!</v>
      </c>
      <c r="L87" s="21">
        <f t="shared" si="18"/>
        <v>0</v>
      </c>
      <c r="M87" s="22" t="e">
        <f t="shared" si="19"/>
        <v>#DIV/0!</v>
      </c>
      <c r="N87" s="17">
        <f t="shared" si="20"/>
        <v>0</v>
      </c>
      <c r="O87" s="55">
        <v>1606.2</v>
      </c>
      <c r="P87" s="55">
        <v>1606.2</v>
      </c>
      <c r="Q87" s="32">
        <f t="shared" si="13"/>
        <v>1</v>
      </c>
      <c r="R87" s="55">
        <v>1686.5</v>
      </c>
      <c r="S87" s="55">
        <v>1686.5</v>
      </c>
      <c r="T87" s="32">
        <f t="shared" si="14"/>
        <v>1</v>
      </c>
    </row>
    <row r="88" spans="1:20" ht="16.5" hidden="1">
      <c r="A88" s="8">
        <v>226</v>
      </c>
      <c r="B88" s="40" t="s">
        <v>145</v>
      </c>
      <c r="C88" s="55"/>
      <c r="D88" s="55"/>
      <c r="E88" s="55"/>
      <c r="F88" s="55"/>
      <c r="G88" s="55"/>
      <c r="H88" s="55">
        <f t="shared" si="6"/>
        <v>0</v>
      </c>
      <c r="I88" s="107" t="e">
        <f t="shared" si="21"/>
        <v>#DIV/0!</v>
      </c>
      <c r="J88" s="55"/>
      <c r="K88" s="32" t="e">
        <f>IF(#REF!=0,"0,0%",J88/#REF!)</f>
        <v>#REF!</v>
      </c>
      <c r="L88" s="21">
        <f t="shared" si="18"/>
        <v>0</v>
      </c>
      <c r="M88" s="22" t="e">
        <f t="shared" si="19"/>
        <v>#DIV/0!</v>
      </c>
      <c r="N88" s="17">
        <f t="shared" si="20"/>
        <v>0</v>
      </c>
      <c r="O88" s="55">
        <v>201.3</v>
      </c>
      <c r="P88" s="55">
        <v>201.3</v>
      </c>
      <c r="Q88" s="32">
        <f t="shared" si="13"/>
        <v>1</v>
      </c>
      <c r="R88" s="55">
        <v>211.3</v>
      </c>
      <c r="S88" s="55">
        <v>211.3</v>
      </c>
      <c r="T88" s="32">
        <f t="shared" si="14"/>
        <v>1</v>
      </c>
    </row>
    <row r="89" spans="1:20" ht="16.5" hidden="1">
      <c r="A89" s="8">
        <v>290</v>
      </c>
      <c r="B89" s="40" t="s">
        <v>146</v>
      </c>
      <c r="C89" s="55"/>
      <c r="D89" s="55"/>
      <c r="E89" s="55"/>
      <c r="F89" s="55"/>
      <c r="G89" s="55"/>
      <c r="H89" s="55">
        <f t="shared" si="6"/>
        <v>0</v>
      </c>
      <c r="I89" s="107" t="e">
        <f t="shared" si="21"/>
        <v>#DIV/0!</v>
      </c>
      <c r="J89" s="55"/>
      <c r="K89" s="32" t="e">
        <f>IF(#REF!=0,"0,0%",J89/#REF!)</f>
        <v>#REF!</v>
      </c>
      <c r="L89" s="21">
        <f t="shared" si="18"/>
        <v>0</v>
      </c>
      <c r="M89" s="22" t="e">
        <f t="shared" si="19"/>
        <v>#DIV/0!</v>
      </c>
      <c r="N89" s="17">
        <f t="shared" si="20"/>
        <v>0</v>
      </c>
      <c r="O89" s="55">
        <v>113.2</v>
      </c>
      <c r="P89" s="55">
        <f>113.2-36.7</f>
        <v>76.5</v>
      </c>
      <c r="Q89" s="32">
        <f t="shared" si="13"/>
        <v>0.6757950530035336</v>
      </c>
      <c r="R89" s="55">
        <v>113.2</v>
      </c>
      <c r="S89" s="55">
        <f>113.2-36.7</f>
        <v>76.5</v>
      </c>
      <c r="T89" s="32">
        <f t="shared" si="14"/>
        <v>0.6757950530035336</v>
      </c>
    </row>
    <row r="90" spans="1:20" ht="16.5" hidden="1">
      <c r="A90" s="8">
        <v>310</v>
      </c>
      <c r="B90" s="40" t="s">
        <v>147</v>
      </c>
      <c r="C90" s="55"/>
      <c r="D90" s="55"/>
      <c r="E90" s="55"/>
      <c r="F90" s="55"/>
      <c r="G90" s="55"/>
      <c r="H90" s="55">
        <f t="shared" si="6"/>
        <v>0</v>
      </c>
      <c r="I90" s="107">
        <f t="shared" si="21"/>
        <v>0</v>
      </c>
      <c r="J90" s="55"/>
      <c r="K90" s="32" t="e">
        <f>IF(#REF!=0,"0,0%",J90/#REF!)</f>
        <v>#REF!</v>
      </c>
      <c r="L90" s="21">
        <f t="shared" si="18"/>
        <v>0</v>
      </c>
      <c r="M90" s="22" t="e">
        <f t="shared" si="19"/>
        <v>#DIV/0!</v>
      </c>
      <c r="N90" s="17">
        <f t="shared" si="20"/>
        <v>0</v>
      </c>
      <c r="O90" s="55">
        <v>0</v>
      </c>
      <c r="P90" s="55">
        <v>0</v>
      </c>
      <c r="Q90" s="32" t="str">
        <f t="shared" si="13"/>
        <v>0,0%</v>
      </c>
      <c r="R90" s="55">
        <v>0</v>
      </c>
      <c r="S90" s="55">
        <v>0</v>
      </c>
      <c r="T90" s="32" t="str">
        <f t="shared" si="14"/>
        <v>0,0%</v>
      </c>
    </row>
    <row r="91" spans="1:20" ht="16.5" hidden="1">
      <c r="A91" s="8">
        <v>340</v>
      </c>
      <c r="B91" s="40" t="s">
        <v>148</v>
      </c>
      <c r="C91" s="55"/>
      <c r="D91" s="55"/>
      <c r="E91" s="55"/>
      <c r="F91" s="55"/>
      <c r="G91" s="55"/>
      <c r="H91" s="55">
        <f t="shared" si="6"/>
        <v>0</v>
      </c>
      <c r="I91" s="107" t="e">
        <f t="shared" si="21"/>
        <v>#DIV/0!</v>
      </c>
      <c r="J91" s="55"/>
      <c r="K91" s="32" t="e">
        <f>IF(#REF!=0,"0,0%",J91/#REF!)</f>
        <v>#REF!</v>
      </c>
      <c r="L91" s="21">
        <f t="shared" si="18"/>
        <v>0</v>
      </c>
      <c r="M91" s="22" t="e">
        <f t="shared" si="19"/>
        <v>#DIV/0!</v>
      </c>
      <c r="N91" s="17">
        <f t="shared" si="20"/>
        <v>0</v>
      </c>
      <c r="O91" s="55">
        <v>4061.7</v>
      </c>
      <c r="P91" s="55">
        <v>4061.7</v>
      </c>
      <c r="Q91" s="32">
        <f t="shared" si="13"/>
        <v>1</v>
      </c>
      <c r="R91" s="55">
        <v>4264.8999999999996</v>
      </c>
      <c r="S91" s="55">
        <v>4264.8999999999996</v>
      </c>
      <c r="T91" s="32">
        <f t="shared" si="14"/>
        <v>1</v>
      </c>
    </row>
    <row r="92" spans="1:20" ht="16.5" hidden="1">
      <c r="A92" s="8">
        <v>612</v>
      </c>
      <c r="B92" s="123" t="s">
        <v>149</v>
      </c>
      <c r="C92" s="55">
        <v>9398.2999999999993</v>
      </c>
      <c r="D92" s="55">
        <v>3677.7</v>
      </c>
      <c r="E92" s="55">
        <v>3677.7</v>
      </c>
      <c r="F92" s="55">
        <v>9398.2999999999993</v>
      </c>
      <c r="G92" s="55">
        <v>3249.6</v>
      </c>
      <c r="H92" s="55">
        <f t="shared" ref="H92:H207" si="22">E92-G92</f>
        <v>428.09999999999991</v>
      </c>
      <c r="I92" s="107">
        <f>G92/G297</f>
        <v>5.2683116630459449E-3</v>
      </c>
      <c r="J92" s="55">
        <v>0</v>
      </c>
      <c r="K92" s="32" t="e">
        <f>IF(#REF!=0,"0,0%",J92/#REF!)</f>
        <v>#REF!</v>
      </c>
      <c r="L92" s="21">
        <f t="shared" si="18"/>
        <v>-428.09999999999991</v>
      </c>
      <c r="M92" s="22">
        <f t="shared" si="19"/>
        <v>0.88359572558936295</v>
      </c>
      <c r="N92" s="17">
        <f t="shared" si="20"/>
        <v>-6148.6999999999989</v>
      </c>
      <c r="O92" s="55">
        <f>O94</f>
        <v>844.8</v>
      </c>
      <c r="P92" s="55">
        <f>P94</f>
        <v>0</v>
      </c>
      <c r="Q92" s="32">
        <f t="shared" si="13"/>
        <v>0</v>
      </c>
      <c r="R92" s="55">
        <f>R94</f>
        <v>887</v>
      </c>
      <c r="S92" s="55">
        <f>S94</f>
        <v>0</v>
      </c>
      <c r="T92" s="32">
        <f t="shared" si="14"/>
        <v>0</v>
      </c>
    </row>
    <row r="93" spans="1:20" s="61" customFormat="1" ht="16.5" hidden="1">
      <c r="A93" s="124"/>
      <c r="B93" s="40" t="s">
        <v>139</v>
      </c>
      <c r="C93" s="48"/>
      <c r="D93" s="48"/>
      <c r="E93" s="48"/>
      <c r="F93" s="48"/>
      <c r="G93" s="48"/>
      <c r="H93" s="48">
        <f t="shared" si="22"/>
        <v>0</v>
      </c>
      <c r="I93" s="107" t="e">
        <f t="shared" si="21"/>
        <v>#DIV/0!</v>
      </c>
      <c r="J93" s="48"/>
      <c r="K93" s="20"/>
      <c r="L93" s="21">
        <f t="shared" si="18"/>
        <v>0</v>
      </c>
      <c r="M93" s="22" t="e">
        <f t="shared" si="19"/>
        <v>#DIV/0!</v>
      </c>
      <c r="N93" s="17">
        <f t="shared" si="20"/>
        <v>0</v>
      </c>
      <c r="O93" s="48"/>
      <c r="P93" s="48"/>
      <c r="Q93" s="20"/>
      <c r="R93" s="48"/>
      <c r="S93" s="48"/>
      <c r="T93" s="20"/>
    </row>
    <row r="94" spans="1:20" ht="18.75" hidden="1" customHeight="1">
      <c r="A94" s="125"/>
      <c r="B94" s="40" t="s">
        <v>150</v>
      </c>
      <c r="C94" s="55">
        <v>0</v>
      </c>
      <c r="D94" s="55">
        <v>0</v>
      </c>
      <c r="E94" s="55">
        <v>0</v>
      </c>
      <c r="F94" s="55">
        <v>0</v>
      </c>
      <c r="G94" s="55">
        <v>0</v>
      </c>
      <c r="H94" s="55">
        <f>F94-G94</f>
        <v>0</v>
      </c>
      <c r="I94" s="107">
        <f>G94/G297</f>
        <v>0</v>
      </c>
      <c r="J94" s="55">
        <v>500</v>
      </c>
      <c r="K94" s="32" t="e">
        <f>IF(#REF!=0,"0,0%",J94/#REF!)</f>
        <v>#REF!</v>
      </c>
      <c r="L94" s="21">
        <f t="shared" si="18"/>
        <v>0</v>
      </c>
      <c r="M94" s="22" t="e">
        <f t="shared" si="19"/>
        <v>#DIV/0!</v>
      </c>
      <c r="N94" s="17">
        <f t="shared" si="20"/>
        <v>0</v>
      </c>
      <c r="O94" s="55">
        <v>844.8</v>
      </c>
      <c r="P94" s="55">
        <v>0</v>
      </c>
      <c r="Q94" s="32">
        <f t="shared" si="13"/>
        <v>0</v>
      </c>
      <c r="R94" s="55">
        <v>887</v>
      </c>
      <c r="S94" s="55">
        <v>0</v>
      </c>
      <c r="T94" s="32">
        <f t="shared" si="14"/>
        <v>0</v>
      </c>
    </row>
    <row r="95" spans="1:20" ht="66" hidden="1">
      <c r="A95" s="8">
        <v>7950500</v>
      </c>
      <c r="B95" s="40" t="s">
        <v>151</v>
      </c>
      <c r="C95" s="55">
        <v>12</v>
      </c>
      <c r="D95" s="55">
        <v>0</v>
      </c>
      <c r="E95" s="55">
        <v>0</v>
      </c>
      <c r="F95" s="55">
        <v>0</v>
      </c>
      <c r="G95" s="55">
        <v>0</v>
      </c>
      <c r="H95" s="55">
        <f t="shared" si="22"/>
        <v>0</v>
      </c>
      <c r="I95" s="107">
        <f t="shared" si="21"/>
        <v>0</v>
      </c>
      <c r="J95" s="30">
        <v>0</v>
      </c>
      <c r="K95" s="32" t="e">
        <f>IF(#REF!=0,"0,0%",J95/#REF!)</f>
        <v>#REF!</v>
      </c>
      <c r="L95" s="21">
        <f t="shared" si="18"/>
        <v>0</v>
      </c>
      <c r="M95" s="22" t="e">
        <f t="shared" si="19"/>
        <v>#DIV/0!</v>
      </c>
      <c r="N95" s="17">
        <f t="shared" si="20"/>
        <v>0</v>
      </c>
      <c r="O95" s="55">
        <v>0</v>
      </c>
      <c r="P95" s="30">
        <v>0</v>
      </c>
      <c r="Q95" s="32" t="str">
        <f t="shared" si="13"/>
        <v>0,0%</v>
      </c>
      <c r="R95" s="55">
        <v>0</v>
      </c>
      <c r="S95" s="30">
        <v>0</v>
      </c>
      <c r="T95" s="32" t="str">
        <f t="shared" si="14"/>
        <v>0,0%</v>
      </c>
    </row>
    <row r="96" spans="1:20" ht="82.5" hidden="1">
      <c r="A96" s="8">
        <v>7954000</v>
      </c>
      <c r="B96" s="40" t="s">
        <v>152</v>
      </c>
      <c r="C96" s="55">
        <v>214.5</v>
      </c>
      <c r="D96" s="55">
        <v>0</v>
      </c>
      <c r="E96" s="55">
        <v>0</v>
      </c>
      <c r="F96" s="55">
        <v>0</v>
      </c>
      <c r="G96" s="55">
        <v>0</v>
      </c>
      <c r="H96" s="55">
        <f t="shared" si="22"/>
        <v>0</v>
      </c>
      <c r="I96" s="107">
        <f t="shared" si="21"/>
        <v>0</v>
      </c>
      <c r="J96" s="30">
        <v>0</v>
      </c>
      <c r="K96" s="32" t="e">
        <f>IF(#REF!=0,"0,0%",J96/#REF!)</f>
        <v>#REF!</v>
      </c>
      <c r="L96" s="21">
        <f t="shared" si="18"/>
        <v>0</v>
      </c>
      <c r="M96" s="22" t="e">
        <f t="shared" si="19"/>
        <v>#DIV/0!</v>
      </c>
      <c r="N96" s="17">
        <f t="shared" si="20"/>
        <v>0</v>
      </c>
      <c r="O96" s="55">
        <v>0</v>
      </c>
      <c r="P96" s="30">
        <v>0</v>
      </c>
      <c r="Q96" s="32" t="str">
        <f t="shared" si="13"/>
        <v>0,0%</v>
      </c>
      <c r="R96" s="55">
        <v>0</v>
      </c>
      <c r="S96" s="30">
        <v>0</v>
      </c>
      <c r="T96" s="32" t="str">
        <f t="shared" si="14"/>
        <v>0,0%</v>
      </c>
    </row>
    <row r="97" spans="1:21" ht="82.5" hidden="1">
      <c r="A97" s="8"/>
      <c r="B97" s="126" t="s">
        <v>153</v>
      </c>
      <c r="C97" s="55">
        <v>0</v>
      </c>
      <c r="D97" s="55">
        <v>0</v>
      </c>
      <c r="E97" s="55">
        <v>450</v>
      </c>
      <c r="F97" s="55"/>
      <c r="G97" s="55">
        <v>237.6</v>
      </c>
      <c r="H97" s="55">
        <f t="shared" si="22"/>
        <v>212.4</v>
      </c>
      <c r="I97" s="107">
        <f>G97/G297</f>
        <v>3.8520151746052332E-4</v>
      </c>
      <c r="J97" s="30">
        <v>320</v>
      </c>
      <c r="K97" s="32" t="e">
        <f>IF(#REF!=0,"0,0%",J97/#REF!)</f>
        <v>#REF!</v>
      </c>
      <c r="L97" s="21">
        <f t="shared" si="18"/>
        <v>-212.4</v>
      </c>
      <c r="M97" s="22">
        <f t="shared" si="19"/>
        <v>0.52800000000000002</v>
      </c>
      <c r="N97" s="17">
        <f t="shared" si="20"/>
        <v>237.6</v>
      </c>
      <c r="O97" s="55">
        <v>0</v>
      </c>
      <c r="P97" s="30">
        <v>0</v>
      </c>
      <c r="Q97" s="32" t="str">
        <f t="shared" si="13"/>
        <v>0,0%</v>
      </c>
      <c r="R97" s="55">
        <v>0</v>
      </c>
      <c r="S97" s="30">
        <v>0</v>
      </c>
      <c r="T97" s="32" t="str">
        <f t="shared" si="14"/>
        <v>0,0%</v>
      </c>
    </row>
    <row r="98" spans="1:21" ht="49.5" hidden="1">
      <c r="A98" s="114" t="s">
        <v>154</v>
      </c>
      <c r="B98" s="52" t="s">
        <v>155</v>
      </c>
      <c r="C98" s="30">
        <v>0</v>
      </c>
      <c r="D98" s="30">
        <v>0</v>
      </c>
      <c r="E98" s="30">
        <v>211.4</v>
      </c>
      <c r="F98" s="30">
        <v>0</v>
      </c>
      <c r="G98" s="30">
        <v>211.4</v>
      </c>
      <c r="H98" s="30">
        <f t="shared" si="22"/>
        <v>0</v>
      </c>
      <c r="I98" s="107">
        <f>G98/G297</f>
        <v>3.4272559255536463E-4</v>
      </c>
      <c r="J98" s="30">
        <v>180</v>
      </c>
      <c r="K98" s="32" t="e">
        <f>IF(#REF!=0,"0,0%",J98/#REF!)</f>
        <v>#REF!</v>
      </c>
      <c r="L98" s="21">
        <f t="shared" si="18"/>
        <v>0</v>
      </c>
      <c r="M98" s="22">
        <f t="shared" si="19"/>
        <v>1</v>
      </c>
      <c r="N98" s="17">
        <f t="shared" si="20"/>
        <v>211.4</v>
      </c>
      <c r="O98" s="30" t="e">
        <f>#REF!</f>
        <v>#REF!</v>
      </c>
      <c r="P98" s="30" t="e">
        <f>#REF!</f>
        <v>#REF!</v>
      </c>
      <c r="Q98" s="32" t="e">
        <f t="shared" si="13"/>
        <v>#REF!</v>
      </c>
      <c r="R98" s="30" t="e">
        <f>#REF!</f>
        <v>#REF!</v>
      </c>
      <c r="S98" s="30" t="e">
        <f>#REF!</f>
        <v>#REF!</v>
      </c>
      <c r="T98" s="32" t="e">
        <f t="shared" si="14"/>
        <v>#REF!</v>
      </c>
    </row>
    <row r="99" spans="1:21" ht="49.5" hidden="1">
      <c r="A99" s="114" t="s">
        <v>156</v>
      </c>
      <c r="B99" s="40" t="s">
        <v>157</v>
      </c>
      <c r="C99" s="30">
        <v>1507.3</v>
      </c>
      <c r="D99" s="30">
        <v>1568.6</v>
      </c>
      <c r="E99" s="30">
        <f>511.9+1056.7</f>
        <v>1568.6</v>
      </c>
      <c r="F99" s="30"/>
      <c r="G99" s="30">
        <v>1561.5</v>
      </c>
      <c r="H99" s="30">
        <f t="shared" si="22"/>
        <v>7.0999999999999091</v>
      </c>
      <c r="I99" s="107">
        <f>G99/G297</f>
        <v>2.5315326999773031E-3</v>
      </c>
      <c r="J99" s="30">
        <v>1647</v>
      </c>
      <c r="K99" s="32" t="e">
        <f>IF(#REF!=0,"0,0%",J99/#REF!)</f>
        <v>#REF!</v>
      </c>
      <c r="L99" s="21">
        <f t="shared" si="18"/>
        <v>-7.0999999999999091</v>
      </c>
      <c r="M99" s="22">
        <f t="shared" si="19"/>
        <v>0.99547367078923887</v>
      </c>
      <c r="N99" s="17">
        <f t="shared" si="20"/>
        <v>1561.5</v>
      </c>
      <c r="O99" s="55">
        <v>1352.9</v>
      </c>
      <c r="P99" s="30">
        <v>1062</v>
      </c>
      <c r="Q99" s="32">
        <f t="shared" si="13"/>
        <v>0.7849804124473353</v>
      </c>
      <c r="R99" s="55">
        <v>1467</v>
      </c>
      <c r="S99" s="30">
        <v>1062</v>
      </c>
      <c r="T99" s="32">
        <f t="shared" si="14"/>
        <v>0.7239263803680982</v>
      </c>
    </row>
    <row r="100" spans="1:21" ht="16.5" hidden="1">
      <c r="A100" s="114" t="s">
        <v>158</v>
      </c>
      <c r="B100" s="40" t="s">
        <v>159</v>
      </c>
      <c r="C100" s="30">
        <v>0</v>
      </c>
      <c r="D100" s="30">
        <v>0</v>
      </c>
      <c r="E100" s="30">
        <v>1099.0999999999999</v>
      </c>
      <c r="F100" s="30">
        <v>0</v>
      </c>
      <c r="G100" s="30">
        <v>1045.5</v>
      </c>
      <c r="H100" s="30">
        <f t="shared" si="22"/>
        <v>53.599999999999909</v>
      </c>
      <c r="I100" s="107">
        <f>G100/G297</f>
        <v>1.6949839499367724E-3</v>
      </c>
      <c r="J100" s="30">
        <v>0</v>
      </c>
      <c r="K100" s="32" t="e">
        <f>IF(#REF!=0,"0,0%",J100/#REF!)</f>
        <v>#REF!</v>
      </c>
      <c r="L100" s="21">
        <f t="shared" si="18"/>
        <v>-53.599999999999909</v>
      </c>
      <c r="M100" s="22">
        <f t="shared" si="19"/>
        <v>0.95123282685833876</v>
      </c>
      <c r="N100" s="17">
        <f t="shared" si="20"/>
        <v>1045.5</v>
      </c>
      <c r="O100" s="55"/>
      <c r="P100" s="30"/>
      <c r="Q100" s="32"/>
      <c r="R100" s="55"/>
      <c r="S100" s="30"/>
      <c r="T100" s="32"/>
    </row>
    <row r="101" spans="1:21" ht="66" hidden="1">
      <c r="A101" s="114" t="s">
        <v>160</v>
      </c>
      <c r="B101" s="127" t="s">
        <v>161</v>
      </c>
      <c r="C101" s="30">
        <v>469.4</v>
      </c>
      <c r="D101" s="30">
        <v>400</v>
      </c>
      <c r="E101" s="30">
        <v>522.79999999999995</v>
      </c>
      <c r="F101" s="30">
        <v>469.3</v>
      </c>
      <c r="G101" s="30">
        <v>522.70000000000005</v>
      </c>
      <c r="H101" s="30">
        <f t="shared" si="22"/>
        <v>9.9999999999909051E-2</v>
      </c>
      <c r="I101" s="107">
        <f>G101/G297</f>
        <v>8.4741091404299477E-4</v>
      </c>
      <c r="J101" s="30">
        <f>700-300</f>
        <v>400</v>
      </c>
      <c r="K101" s="32" t="e">
        <f>IF(#REF!=0,"0,0%",J101/#REF!)</f>
        <v>#REF!</v>
      </c>
      <c r="L101" s="21">
        <f t="shared" si="18"/>
        <v>-9.9999999999909051E-2</v>
      </c>
      <c r="M101" s="22">
        <f t="shared" si="19"/>
        <v>0.99980872226472861</v>
      </c>
      <c r="N101" s="17">
        <f t="shared" si="20"/>
        <v>53.400000000000034</v>
      </c>
      <c r="O101" s="128">
        <v>800</v>
      </c>
      <c r="P101" s="30">
        <v>400</v>
      </c>
      <c r="Q101" s="32">
        <f t="shared" si="13"/>
        <v>0.5</v>
      </c>
      <c r="R101" s="128">
        <v>800</v>
      </c>
      <c r="S101" s="30">
        <v>400</v>
      </c>
      <c r="T101" s="32">
        <f t="shared" si="14"/>
        <v>0.5</v>
      </c>
      <c r="U101" s="3">
        <f>700-300</f>
        <v>400</v>
      </c>
    </row>
    <row r="102" spans="1:21" ht="16.5" hidden="1">
      <c r="A102" s="112"/>
      <c r="B102" s="113" t="s">
        <v>162</v>
      </c>
      <c r="C102" s="48">
        <f>C103+C104+C105+C106+C107+C108+C109</f>
        <v>0</v>
      </c>
      <c r="D102" s="48">
        <f t="shared" ref="D102:J102" si="23">D103+D104+D105+D106+D107+D108+D109</f>
        <v>0</v>
      </c>
      <c r="E102" s="48">
        <f t="shared" si="23"/>
        <v>0</v>
      </c>
      <c r="F102" s="48">
        <f t="shared" si="23"/>
        <v>0</v>
      </c>
      <c r="G102" s="48">
        <f t="shared" si="23"/>
        <v>0</v>
      </c>
      <c r="H102" s="30">
        <f t="shared" si="22"/>
        <v>0</v>
      </c>
      <c r="I102" s="107" t="e">
        <f t="shared" si="21"/>
        <v>#DIV/0!</v>
      </c>
      <c r="J102" s="48">
        <f t="shared" si="23"/>
        <v>0</v>
      </c>
      <c r="K102" s="20" t="e">
        <f>IF(#REF!=0,"0,0%",J102/#REF!)</f>
        <v>#REF!</v>
      </c>
      <c r="L102" s="21">
        <f t="shared" si="18"/>
        <v>0</v>
      </c>
      <c r="M102" s="22" t="e">
        <f t="shared" si="19"/>
        <v>#DIV/0!</v>
      </c>
      <c r="N102" s="17">
        <f t="shared" si="20"/>
        <v>0</v>
      </c>
      <c r="O102" s="129">
        <f>O103+O104+O105+O106+O107+O108+O109</f>
        <v>1833.5</v>
      </c>
      <c r="P102" s="129">
        <f>P103+P104+P105+P106+P107+P108+P109</f>
        <v>448</v>
      </c>
      <c r="Q102" s="20">
        <f t="shared" si="13"/>
        <v>0.24434142350695393</v>
      </c>
      <c r="R102" s="129">
        <f>R103+R104+R105+R106+R107+R108+R109</f>
        <v>1921.1</v>
      </c>
      <c r="S102" s="129">
        <f>S103+S104+S105+S106+S107+S108+S109</f>
        <v>448</v>
      </c>
      <c r="T102" s="20">
        <f t="shared" si="14"/>
        <v>0.23319972932174277</v>
      </c>
    </row>
    <row r="103" spans="1:21" ht="16.5" hidden="1">
      <c r="A103" s="114"/>
      <c r="B103" s="127" t="s">
        <v>163</v>
      </c>
      <c r="C103" s="55"/>
      <c r="D103" s="55"/>
      <c r="E103" s="55"/>
      <c r="F103" s="55"/>
      <c r="G103" s="55"/>
      <c r="H103" s="30">
        <f t="shared" si="22"/>
        <v>0</v>
      </c>
      <c r="I103" s="107" t="e">
        <f t="shared" si="21"/>
        <v>#DIV/0!</v>
      </c>
      <c r="J103" s="55"/>
      <c r="K103" s="20" t="e">
        <f>IF(#REF!=0,"0,0%",J103/#REF!)</f>
        <v>#REF!</v>
      </c>
      <c r="L103" s="21">
        <f t="shared" si="18"/>
        <v>0</v>
      </c>
      <c r="M103" s="22" t="e">
        <f t="shared" si="19"/>
        <v>#DIV/0!</v>
      </c>
      <c r="N103" s="17">
        <f t="shared" si="20"/>
        <v>0</v>
      </c>
      <c r="O103" s="55">
        <v>0</v>
      </c>
      <c r="P103" s="55">
        <v>0</v>
      </c>
      <c r="Q103" s="130" t="str">
        <f t="shared" si="13"/>
        <v>0,0%</v>
      </c>
      <c r="R103" s="55">
        <v>0</v>
      </c>
      <c r="S103" s="55">
        <v>0</v>
      </c>
      <c r="T103" s="130" t="str">
        <f t="shared" si="14"/>
        <v>0,0%</v>
      </c>
    </row>
    <row r="104" spans="1:21" ht="16.5" hidden="1">
      <c r="A104" s="114"/>
      <c r="B104" s="131" t="s">
        <v>164</v>
      </c>
      <c r="C104" s="55"/>
      <c r="D104" s="55"/>
      <c r="E104" s="55"/>
      <c r="F104" s="55"/>
      <c r="G104" s="55"/>
      <c r="H104" s="30">
        <f t="shared" si="22"/>
        <v>0</v>
      </c>
      <c r="I104" s="107" t="e">
        <f t="shared" si="21"/>
        <v>#DIV/0!</v>
      </c>
      <c r="J104" s="55"/>
      <c r="K104" s="20" t="e">
        <f>IF(#REF!=0,"0,0%",J104/#REF!)</f>
        <v>#REF!</v>
      </c>
      <c r="L104" s="21">
        <f t="shared" si="18"/>
        <v>0</v>
      </c>
      <c r="M104" s="22" t="e">
        <f t="shared" si="19"/>
        <v>#DIV/0!</v>
      </c>
      <c r="N104" s="17">
        <f t="shared" si="20"/>
        <v>0</v>
      </c>
      <c r="O104" s="55">
        <v>0</v>
      </c>
      <c r="P104" s="55">
        <v>0</v>
      </c>
      <c r="Q104" s="32" t="str">
        <f t="shared" si="13"/>
        <v>0,0%</v>
      </c>
      <c r="R104" s="55">
        <v>0</v>
      </c>
      <c r="S104" s="55">
        <v>0</v>
      </c>
      <c r="T104" s="32" t="str">
        <f t="shared" si="14"/>
        <v>0,0%</v>
      </c>
    </row>
    <row r="105" spans="1:21" ht="16.5" hidden="1">
      <c r="A105" s="114"/>
      <c r="B105" s="131" t="s">
        <v>165</v>
      </c>
      <c r="C105" s="55"/>
      <c r="D105" s="55"/>
      <c r="E105" s="55"/>
      <c r="F105" s="55"/>
      <c r="G105" s="55"/>
      <c r="H105" s="30">
        <f t="shared" si="22"/>
        <v>0</v>
      </c>
      <c r="I105" s="107" t="e">
        <f t="shared" si="21"/>
        <v>#DIV/0!</v>
      </c>
      <c r="J105" s="55"/>
      <c r="K105" s="20" t="e">
        <f>IF(#REF!=0,"0,0%",J105/#REF!)</f>
        <v>#REF!</v>
      </c>
      <c r="L105" s="21">
        <f t="shared" si="18"/>
        <v>0</v>
      </c>
      <c r="M105" s="22" t="e">
        <f t="shared" si="19"/>
        <v>#DIV/0!</v>
      </c>
      <c r="N105" s="17">
        <f t="shared" si="20"/>
        <v>0</v>
      </c>
      <c r="O105" s="55">
        <v>0</v>
      </c>
      <c r="P105" s="55">
        <v>0</v>
      </c>
      <c r="Q105" s="32" t="str">
        <f t="shared" si="13"/>
        <v>0,0%</v>
      </c>
      <c r="R105" s="55">
        <v>0</v>
      </c>
      <c r="S105" s="55">
        <v>0</v>
      </c>
      <c r="T105" s="32" t="str">
        <f t="shared" si="14"/>
        <v>0,0%</v>
      </c>
    </row>
    <row r="106" spans="1:21" ht="33" hidden="1">
      <c r="A106" s="114"/>
      <c r="B106" s="131" t="s">
        <v>166</v>
      </c>
      <c r="C106" s="55"/>
      <c r="D106" s="55"/>
      <c r="E106" s="55"/>
      <c r="F106" s="55"/>
      <c r="G106" s="55"/>
      <c r="H106" s="30">
        <f t="shared" si="22"/>
        <v>0</v>
      </c>
      <c r="I106" s="107" t="e">
        <f t="shared" si="21"/>
        <v>#DIV/0!</v>
      </c>
      <c r="J106" s="55"/>
      <c r="K106" s="20" t="e">
        <f>IF(#REF!=0,"0,0%",J106/#REF!)</f>
        <v>#REF!</v>
      </c>
      <c r="L106" s="21">
        <f t="shared" si="18"/>
        <v>0</v>
      </c>
      <c r="M106" s="22" t="e">
        <f t="shared" si="19"/>
        <v>#DIV/0!</v>
      </c>
      <c r="N106" s="17">
        <f t="shared" si="20"/>
        <v>0</v>
      </c>
      <c r="O106" s="55">
        <v>1000</v>
      </c>
      <c r="P106" s="55">
        <v>0</v>
      </c>
      <c r="Q106" s="32">
        <f t="shared" si="13"/>
        <v>0</v>
      </c>
      <c r="R106" s="55">
        <v>1000</v>
      </c>
      <c r="S106" s="55">
        <v>0</v>
      </c>
      <c r="T106" s="32">
        <f t="shared" si="14"/>
        <v>0</v>
      </c>
    </row>
    <row r="107" spans="1:21" ht="16.5" hidden="1">
      <c r="A107" s="114"/>
      <c r="B107" s="131" t="s">
        <v>167</v>
      </c>
      <c r="C107" s="55"/>
      <c r="D107" s="55"/>
      <c r="E107" s="55"/>
      <c r="F107" s="55"/>
      <c r="G107" s="55"/>
      <c r="H107" s="30">
        <f t="shared" si="22"/>
        <v>0</v>
      </c>
      <c r="I107" s="107" t="e">
        <f t="shared" si="21"/>
        <v>#DIV/0!</v>
      </c>
      <c r="J107" s="55"/>
      <c r="K107" s="20" t="e">
        <f>IF(#REF!=0,"0,0%",J107/#REF!)</f>
        <v>#REF!</v>
      </c>
      <c r="L107" s="21">
        <f t="shared" si="18"/>
        <v>0</v>
      </c>
      <c r="M107" s="22" t="e">
        <f t="shared" si="19"/>
        <v>#DIV/0!</v>
      </c>
      <c r="N107" s="17">
        <f t="shared" si="20"/>
        <v>0</v>
      </c>
      <c r="O107" s="55">
        <v>20</v>
      </c>
      <c r="P107" s="55">
        <v>20</v>
      </c>
      <c r="Q107" s="32">
        <f t="shared" si="13"/>
        <v>1</v>
      </c>
      <c r="R107" s="55">
        <v>20</v>
      </c>
      <c r="S107" s="55">
        <v>20</v>
      </c>
      <c r="T107" s="32">
        <f t="shared" si="14"/>
        <v>1</v>
      </c>
    </row>
    <row r="108" spans="1:21" ht="16.5" hidden="1">
      <c r="A108" s="114"/>
      <c r="B108" s="131" t="s">
        <v>168</v>
      </c>
      <c r="C108" s="55"/>
      <c r="D108" s="55"/>
      <c r="E108" s="55"/>
      <c r="F108" s="55"/>
      <c r="G108" s="55"/>
      <c r="H108" s="30">
        <f t="shared" si="22"/>
        <v>0</v>
      </c>
      <c r="I108" s="107" t="e">
        <f t="shared" si="21"/>
        <v>#DIV/0!</v>
      </c>
      <c r="J108" s="55"/>
      <c r="K108" s="20" t="e">
        <f>IF(#REF!=0,"0,0%",J108/#REF!)</f>
        <v>#REF!</v>
      </c>
      <c r="L108" s="21">
        <f t="shared" si="18"/>
        <v>0</v>
      </c>
      <c r="M108" s="22" t="e">
        <f t="shared" si="19"/>
        <v>#DIV/0!</v>
      </c>
      <c r="N108" s="17">
        <f t="shared" si="20"/>
        <v>0</v>
      </c>
      <c r="O108" s="55">
        <v>3</v>
      </c>
      <c r="P108" s="55">
        <v>3</v>
      </c>
      <c r="Q108" s="32">
        <f t="shared" si="13"/>
        <v>1</v>
      </c>
      <c r="R108" s="55">
        <v>3</v>
      </c>
      <c r="S108" s="55">
        <v>3</v>
      </c>
      <c r="T108" s="32">
        <f t="shared" si="14"/>
        <v>1</v>
      </c>
    </row>
    <row r="109" spans="1:21" ht="33" hidden="1">
      <c r="A109" s="114"/>
      <c r="B109" s="131" t="s">
        <v>169</v>
      </c>
      <c r="C109" s="55"/>
      <c r="D109" s="55"/>
      <c r="E109" s="55"/>
      <c r="F109" s="55"/>
      <c r="G109" s="55"/>
      <c r="H109" s="30">
        <f t="shared" si="22"/>
        <v>0</v>
      </c>
      <c r="I109" s="107" t="e">
        <f t="shared" si="21"/>
        <v>#DIV/0!</v>
      </c>
      <c r="J109" s="55"/>
      <c r="K109" s="20" t="e">
        <f>IF(#REF!=0,"0,0%",J109/#REF!)</f>
        <v>#REF!</v>
      </c>
      <c r="L109" s="21">
        <f t="shared" si="18"/>
        <v>0</v>
      </c>
      <c r="M109" s="22" t="e">
        <f t="shared" si="19"/>
        <v>#DIV/0!</v>
      </c>
      <c r="N109" s="17">
        <f t="shared" si="20"/>
        <v>0</v>
      </c>
      <c r="O109" s="55">
        <v>810.5</v>
      </c>
      <c r="P109" s="55">
        <v>425</v>
      </c>
      <c r="Q109" s="32">
        <f t="shared" si="13"/>
        <v>0.52436767427513875</v>
      </c>
      <c r="R109" s="55">
        <v>898.1</v>
      </c>
      <c r="S109" s="55">
        <v>425</v>
      </c>
      <c r="T109" s="32">
        <f t="shared" si="14"/>
        <v>0.47322124485023936</v>
      </c>
    </row>
    <row r="110" spans="1:21" ht="66" hidden="1">
      <c r="A110" s="132" t="s">
        <v>170</v>
      </c>
      <c r="B110" s="127" t="s">
        <v>171</v>
      </c>
      <c r="C110" s="55">
        <v>320</v>
      </c>
      <c r="D110" s="55">
        <v>0</v>
      </c>
      <c r="E110" s="55">
        <v>0</v>
      </c>
      <c r="F110" s="55">
        <v>0</v>
      </c>
      <c r="G110" s="55">
        <v>0</v>
      </c>
      <c r="H110" s="30">
        <f t="shared" si="22"/>
        <v>0</v>
      </c>
      <c r="I110" s="107">
        <f t="shared" si="21"/>
        <v>0</v>
      </c>
      <c r="J110" s="55"/>
      <c r="K110" s="32" t="e">
        <f>IF(#REF!=0,"0,0%",J110/#REF!)</f>
        <v>#REF!</v>
      </c>
      <c r="L110" s="21">
        <f t="shared" si="18"/>
        <v>0</v>
      </c>
      <c r="M110" s="22" t="e">
        <f t="shared" si="19"/>
        <v>#DIV/0!</v>
      </c>
      <c r="N110" s="17">
        <f t="shared" si="20"/>
        <v>0</v>
      </c>
      <c r="O110" s="55"/>
      <c r="P110" s="55"/>
      <c r="Q110" s="32"/>
      <c r="R110" s="55"/>
      <c r="S110" s="55"/>
      <c r="T110" s="32"/>
    </row>
    <row r="111" spans="1:21" ht="16.5" hidden="1">
      <c r="A111" s="132" t="s">
        <v>158</v>
      </c>
      <c r="B111" s="40" t="s">
        <v>172</v>
      </c>
      <c r="C111" s="55">
        <v>0</v>
      </c>
      <c r="D111" s="55">
        <v>0</v>
      </c>
      <c r="E111" s="55">
        <v>0</v>
      </c>
      <c r="F111" s="55">
        <v>0</v>
      </c>
      <c r="G111" s="55">
        <v>0</v>
      </c>
      <c r="H111" s="30">
        <f t="shared" si="22"/>
        <v>0</v>
      </c>
      <c r="I111" s="107">
        <f t="shared" si="21"/>
        <v>0</v>
      </c>
      <c r="J111" s="55">
        <v>0</v>
      </c>
      <c r="K111" s="32" t="e">
        <f>IF(#REF!=0,"0,0%",J111/#REF!)</f>
        <v>#REF!</v>
      </c>
      <c r="L111" s="21">
        <f t="shared" si="18"/>
        <v>0</v>
      </c>
      <c r="M111" s="22" t="e">
        <f t="shared" si="19"/>
        <v>#DIV/0!</v>
      </c>
      <c r="N111" s="17">
        <f t="shared" si="20"/>
        <v>0</v>
      </c>
      <c r="O111" s="55"/>
      <c r="P111" s="55"/>
      <c r="Q111" s="32"/>
      <c r="R111" s="55"/>
      <c r="S111" s="55"/>
      <c r="T111" s="32"/>
    </row>
    <row r="112" spans="1:21" ht="16.5" hidden="1">
      <c r="A112" s="133" t="s">
        <v>173</v>
      </c>
      <c r="B112" s="116" t="s">
        <v>174</v>
      </c>
      <c r="C112" s="48">
        <v>540.70000000000005</v>
      </c>
      <c r="D112" s="48">
        <v>567.5</v>
      </c>
      <c r="E112" s="48">
        <v>567.5</v>
      </c>
      <c r="F112" s="48">
        <v>484.4</v>
      </c>
      <c r="G112" s="48">
        <v>567.5</v>
      </c>
      <c r="H112" s="30">
        <f t="shared" si="22"/>
        <v>0</v>
      </c>
      <c r="I112" s="107">
        <f t="shared" si="21"/>
        <v>2.3069105691056913</v>
      </c>
      <c r="J112" s="48">
        <v>0</v>
      </c>
      <c r="K112" s="20" t="e">
        <f>IF(#REF!=0,"0,0%",J112/#REF!)</f>
        <v>#REF!</v>
      </c>
      <c r="L112" s="21">
        <f t="shared" si="18"/>
        <v>0</v>
      </c>
      <c r="M112" s="22">
        <f t="shared" si="19"/>
        <v>1</v>
      </c>
      <c r="N112" s="17">
        <f t="shared" si="20"/>
        <v>83.100000000000023</v>
      </c>
      <c r="O112" s="55"/>
      <c r="P112" s="55"/>
      <c r="Q112" s="32"/>
      <c r="R112" s="55"/>
      <c r="S112" s="55"/>
      <c r="T112" s="32"/>
    </row>
    <row r="113" spans="1:20" ht="33">
      <c r="A113" s="108" t="s">
        <v>175</v>
      </c>
      <c r="B113" s="109" t="s">
        <v>176</v>
      </c>
      <c r="C113" s="98">
        <f>C114+C116+C118+C119+C120+C121</f>
        <v>6739.4</v>
      </c>
      <c r="D113" s="98">
        <f>D114+D116+D118+D119+D120+D121</f>
        <v>7545</v>
      </c>
      <c r="E113" s="98">
        <f>E114+E116+E118+E119+E120+E121</f>
        <v>7431.8</v>
      </c>
      <c r="F113" s="98">
        <f>F114+F116+F118+F119+F120+F121</f>
        <v>6739.4</v>
      </c>
      <c r="G113" s="98">
        <f>G114+G116+G118+G119+G120+G121</f>
        <v>7431.2</v>
      </c>
      <c r="H113" s="60">
        <f t="shared" si="22"/>
        <v>0.6000000000003638</v>
      </c>
      <c r="I113" s="107">
        <f>G113/G297</f>
        <v>1.2047598975389902E-2</v>
      </c>
      <c r="J113" s="60">
        <f>J114+J116+J118+J119+J120+J121</f>
        <v>7785.7</v>
      </c>
      <c r="K113" s="20" t="e">
        <f>IF(#REF!=0,"0,0%",J113/#REF!)</f>
        <v>#REF!</v>
      </c>
      <c r="L113" s="21">
        <f t="shared" si="18"/>
        <v>-0.6000000000003638</v>
      </c>
      <c r="M113" s="22">
        <f t="shared" si="19"/>
        <v>0.9999192658575311</v>
      </c>
      <c r="N113" s="17">
        <f t="shared" si="20"/>
        <v>691.80000000000018</v>
      </c>
      <c r="O113" s="60">
        <f>O114+O116+O118</f>
        <v>146.69999999999999</v>
      </c>
      <c r="P113" s="60">
        <f>P114+P116+P118</f>
        <v>146.69999999999999</v>
      </c>
      <c r="Q113" s="20">
        <f t="shared" si="13"/>
        <v>1</v>
      </c>
      <c r="R113" s="60">
        <f>R114+R116+R118</f>
        <v>51.2</v>
      </c>
      <c r="S113" s="60">
        <f>S114+S116+S118</f>
        <v>51.2</v>
      </c>
      <c r="T113" s="20">
        <f t="shared" si="14"/>
        <v>1</v>
      </c>
    </row>
    <row r="114" spans="1:20" ht="49.5" hidden="1">
      <c r="A114" s="108" t="s">
        <v>177</v>
      </c>
      <c r="B114" s="134" t="s">
        <v>178</v>
      </c>
      <c r="C114" s="21">
        <f t="shared" ref="C114:S114" si="24">C115</f>
        <v>0</v>
      </c>
      <c r="D114" s="21">
        <f t="shared" si="24"/>
        <v>210.4</v>
      </c>
      <c r="E114" s="21">
        <f t="shared" si="24"/>
        <v>246.6</v>
      </c>
      <c r="F114" s="21">
        <f t="shared" si="24"/>
        <v>357</v>
      </c>
      <c r="G114" s="21">
        <f t="shared" si="24"/>
        <v>246</v>
      </c>
      <c r="H114" s="48">
        <f t="shared" si="22"/>
        <v>0.59999999999999432</v>
      </c>
      <c r="I114" s="107">
        <f>G114/G297</f>
        <v>3.988197529262994E-4</v>
      </c>
      <c r="J114" s="48">
        <f t="shared" si="24"/>
        <v>176</v>
      </c>
      <c r="K114" s="20" t="e">
        <f>IF(#REF!=0,"0,0%",J114/#REF!)</f>
        <v>#REF!</v>
      </c>
      <c r="L114" s="21">
        <f t="shared" si="18"/>
        <v>-0.59999999999999432</v>
      </c>
      <c r="M114" s="22">
        <f t="shared" si="19"/>
        <v>0.9975669099756691</v>
      </c>
      <c r="N114" s="17">
        <f t="shared" si="20"/>
        <v>-111</v>
      </c>
      <c r="O114" s="48">
        <f t="shared" si="24"/>
        <v>146.69999999999999</v>
      </c>
      <c r="P114" s="48">
        <f t="shared" si="24"/>
        <v>146.69999999999999</v>
      </c>
      <c r="Q114" s="20">
        <f t="shared" si="13"/>
        <v>1</v>
      </c>
      <c r="R114" s="48">
        <f t="shared" si="24"/>
        <v>51.2</v>
      </c>
      <c r="S114" s="48">
        <f t="shared" si="24"/>
        <v>51.2</v>
      </c>
      <c r="T114" s="20">
        <f t="shared" si="14"/>
        <v>1</v>
      </c>
    </row>
    <row r="115" spans="1:20" ht="16.5" hidden="1">
      <c r="A115" s="114"/>
      <c r="B115" s="115" t="s">
        <v>179</v>
      </c>
      <c r="C115" s="30">
        <v>0</v>
      </c>
      <c r="D115" s="30">
        <f>210.4</f>
        <v>210.4</v>
      </c>
      <c r="E115" s="30">
        <f>246.6</f>
        <v>246.6</v>
      </c>
      <c r="F115" s="30">
        <v>357</v>
      </c>
      <c r="G115" s="30">
        <v>246</v>
      </c>
      <c r="H115" s="30">
        <f t="shared" si="22"/>
        <v>0.59999999999999432</v>
      </c>
      <c r="I115" s="107">
        <f>G115/G297</f>
        <v>3.988197529262994E-4</v>
      </c>
      <c r="J115" s="55">
        <f>121+55</f>
        <v>176</v>
      </c>
      <c r="K115" s="32" t="e">
        <f>IF(#REF!=0,"0,0%",J115/#REF!)</f>
        <v>#REF!</v>
      </c>
      <c r="L115" s="21">
        <f t="shared" si="18"/>
        <v>-0.59999999999999432</v>
      </c>
      <c r="M115" s="22">
        <f t="shared" si="19"/>
        <v>0.9975669099756691</v>
      </c>
      <c r="N115" s="17">
        <f t="shared" si="20"/>
        <v>-111</v>
      </c>
      <c r="O115" s="30">
        <v>146.69999999999999</v>
      </c>
      <c r="P115" s="55">
        <v>146.69999999999999</v>
      </c>
      <c r="Q115" s="32">
        <f t="shared" si="13"/>
        <v>1</v>
      </c>
      <c r="R115" s="30">
        <v>51.2</v>
      </c>
      <c r="S115" s="55">
        <v>51.2</v>
      </c>
      <c r="T115" s="32">
        <f t="shared" si="14"/>
        <v>1</v>
      </c>
    </row>
    <row r="116" spans="1:20" ht="16.5" hidden="1">
      <c r="A116" s="112"/>
      <c r="B116" s="118" t="s">
        <v>180</v>
      </c>
      <c r="C116" s="48">
        <f t="shared" ref="C116:S116" si="25">C117</f>
        <v>357</v>
      </c>
      <c r="D116" s="48">
        <f t="shared" si="25"/>
        <v>0</v>
      </c>
      <c r="E116" s="48">
        <f t="shared" si="25"/>
        <v>0</v>
      </c>
      <c r="F116" s="48">
        <f t="shared" si="25"/>
        <v>0</v>
      </c>
      <c r="G116" s="48">
        <f t="shared" si="25"/>
        <v>0</v>
      </c>
      <c r="H116" s="48">
        <f t="shared" si="22"/>
        <v>0</v>
      </c>
      <c r="I116" s="107" t="e">
        <f>G116/G118</f>
        <v>#DIV/0!</v>
      </c>
      <c r="J116" s="48">
        <f t="shared" si="25"/>
        <v>0</v>
      </c>
      <c r="K116" s="20" t="e">
        <f>IF(#REF!=0,"0,0%",J116/#REF!)</f>
        <v>#REF!</v>
      </c>
      <c r="L116" s="21">
        <f t="shared" si="18"/>
        <v>0</v>
      </c>
      <c r="M116" s="22" t="e">
        <f t="shared" si="19"/>
        <v>#DIV/0!</v>
      </c>
      <c r="N116" s="17">
        <f t="shared" si="20"/>
        <v>0</v>
      </c>
      <c r="O116" s="48">
        <f t="shared" si="25"/>
        <v>0</v>
      </c>
      <c r="P116" s="48">
        <f t="shared" si="25"/>
        <v>0</v>
      </c>
      <c r="Q116" s="20" t="str">
        <f t="shared" si="13"/>
        <v>0,0%</v>
      </c>
      <c r="R116" s="48">
        <f t="shared" si="25"/>
        <v>0</v>
      </c>
      <c r="S116" s="48">
        <f t="shared" si="25"/>
        <v>0</v>
      </c>
      <c r="T116" s="20" t="str">
        <f t="shared" si="14"/>
        <v>0,0%</v>
      </c>
    </row>
    <row r="117" spans="1:20" ht="16.5" hidden="1">
      <c r="A117" s="114"/>
      <c r="B117" s="115" t="s">
        <v>122</v>
      </c>
      <c r="C117" s="30">
        <v>357</v>
      </c>
      <c r="D117" s="30">
        <v>0</v>
      </c>
      <c r="E117" s="30">
        <v>0</v>
      </c>
      <c r="F117" s="30">
        <v>0</v>
      </c>
      <c r="G117" s="30">
        <v>0</v>
      </c>
      <c r="H117" s="30">
        <f t="shared" si="22"/>
        <v>0</v>
      </c>
      <c r="I117" s="107">
        <f>G117/G119</f>
        <v>0</v>
      </c>
      <c r="J117" s="30">
        <v>0</v>
      </c>
      <c r="K117" s="32" t="e">
        <f>IF(#REF!=0,"0,0%",J117/#REF!)</f>
        <v>#REF!</v>
      </c>
      <c r="L117" s="21">
        <f t="shared" si="18"/>
        <v>0</v>
      </c>
      <c r="M117" s="22" t="e">
        <f t="shared" si="19"/>
        <v>#DIV/0!</v>
      </c>
      <c r="N117" s="17">
        <f t="shared" si="20"/>
        <v>0</v>
      </c>
      <c r="O117" s="30">
        <v>0</v>
      </c>
      <c r="P117" s="30">
        <v>0</v>
      </c>
      <c r="Q117" s="32" t="str">
        <f t="shared" si="13"/>
        <v>0,0%</v>
      </c>
      <c r="R117" s="30">
        <v>0</v>
      </c>
      <c r="S117" s="30">
        <v>0</v>
      </c>
      <c r="T117" s="32" t="str">
        <f t="shared" si="14"/>
        <v>0,0%</v>
      </c>
    </row>
    <row r="118" spans="1:20" ht="82.5" hidden="1">
      <c r="A118" s="132" t="s">
        <v>181</v>
      </c>
      <c r="B118" s="135" t="s">
        <v>182</v>
      </c>
      <c r="C118" s="55">
        <v>196.2</v>
      </c>
      <c r="D118" s="55">
        <v>149.4</v>
      </c>
      <c r="E118" s="55">
        <v>0</v>
      </c>
      <c r="F118" s="55">
        <v>196.2</v>
      </c>
      <c r="G118" s="55">
        <v>0</v>
      </c>
      <c r="H118" s="55">
        <f t="shared" si="22"/>
        <v>0</v>
      </c>
      <c r="I118" s="107">
        <f>G118/G297</f>
        <v>0</v>
      </c>
      <c r="J118" s="55">
        <v>0</v>
      </c>
      <c r="K118" s="130" t="e">
        <f>IF(#REF!=0,"0,0%",J118/#REF!)</f>
        <v>#REF!</v>
      </c>
      <c r="L118" s="21">
        <f t="shared" si="18"/>
        <v>0</v>
      </c>
      <c r="M118" s="22">
        <v>0</v>
      </c>
      <c r="N118" s="17">
        <f t="shared" si="20"/>
        <v>-196.2</v>
      </c>
      <c r="O118" s="60">
        <v>0</v>
      </c>
      <c r="P118" s="60">
        <v>0</v>
      </c>
      <c r="Q118" s="20" t="str">
        <f t="shared" si="13"/>
        <v>0,0%</v>
      </c>
      <c r="R118" s="60">
        <v>0</v>
      </c>
      <c r="S118" s="60">
        <v>0</v>
      </c>
      <c r="T118" s="20" t="str">
        <f t="shared" si="14"/>
        <v>0,0%</v>
      </c>
    </row>
    <row r="119" spans="1:20" ht="33" hidden="1">
      <c r="A119" s="132"/>
      <c r="B119" s="135" t="s">
        <v>183</v>
      </c>
      <c r="C119" s="55">
        <v>6186.2</v>
      </c>
      <c r="D119" s="55">
        <v>7185.2</v>
      </c>
      <c r="E119" s="55">
        <v>7185.2</v>
      </c>
      <c r="F119" s="55">
        <v>6186.2</v>
      </c>
      <c r="G119" s="55">
        <v>7185.2</v>
      </c>
      <c r="H119" s="55">
        <f t="shared" si="22"/>
        <v>0</v>
      </c>
      <c r="I119" s="107">
        <f>G119/G297</f>
        <v>1.1648779222463603E-2</v>
      </c>
      <c r="J119" s="55">
        <v>7609.7</v>
      </c>
      <c r="K119" s="130" t="e">
        <f>IF(#REF!=0,"0,0%",J119/#REF!)</f>
        <v>#REF!</v>
      </c>
      <c r="L119" s="21">
        <f t="shared" si="18"/>
        <v>0</v>
      </c>
      <c r="M119" s="22">
        <f t="shared" si="19"/>
        <v>1</v>
      </c>
      <c r="N119" s="17">
        <f t="shared" si="20"/>
        <v>999</v>
      </c>
      <c r="O119" s="60"/>
      <c r="P119" s="60"/>
      <c r="Q119" s="20"/>
      <c r="R119" s="60"/>
      <c r="S119" s="60"/>
      <c r="T119" s="20"/>
    </row>
    <row r="120" spans="1:20" ht="16.5" hidden="1">
      <c r="A120" s="132" t="s">
        <v>184</v>
      </c>
      <c r="B120" s="135" t="s">
        <v>125</v>
      </c>
      <c r="C120" s="55">
        <v>0</v>
      </c>
      <c r="D120" s="55">
        <v>0</v>
      </c>
      <c r="E120" s="55">
        <v>0</v>
      </c>
      <c r="F120" s="55">
        <v>0</v>
      </c>
      <c r="G120" s="55">
        <v>0</v>
      </c>
      <c r="H120" s="55">
        <f t="shared" si="22"/>
        <v>0</v>
      </c>
      <c r="I120" s="107">
        <f>G120/G122</f>
        <v>0</v>
      </c>
      <c r="J120" s="55">
        <v>0</v>
      </c>
      <c r="K120" s="130" t="e">
        <f>IF(#REF!=0,"0,0%",J120/#REF!)</f>
        <v>#REF!</v>
      </c>
      <c r="L120" s="21">
        <f t="shared" si="18"/>
        <v>0</v>
      </c>
      <c r="M120" s="22" t="e">
        <f t="shared" si="19"/>
        <v>#DIV/0!</v>
      </c>
      <c r="N120" s="17">
        <f t="shared" si="20"/>
        <v>0</v>
      </c>
      <c r="O120" s="60"/>
      <c r="P120" s="60"/>
      <c r="Q120" s="20"/>
      <c r="R120" s="60"/>
      <c r="S120" s="60"/>
      <c r="T120" s="20"/>
    </row>
    <row r="121" spans="1:20" ht="33" hidden="1">
      <c r="A121" s="132" t="s">
        <v>185</v>
      </c>
      <c r="B121" s="135" t="s">
        <v>186</v>
      </c>
      <c r="C121" s="55">
        <v>0</v>
      </c>
      <c r="D121" s="55">
        <v>0</v>
      </c>
      <c r="E121" s="55">
        <v>0</v>
      </c>
      <c r="F121" s="55">
        <v>0</v>
      </c>
      <c r="G121" s="55">
        <v>0</v>
      </c>
      <c r="H121" s="55">
        <f t="shared" si="22"/>
        <v>0</v>
      </c>
      <c r="I121" s="107">
        <f>G121/G123</f>
        <v>0</v>
      </c>
      <c r="J121" s="55">
        <v>0</v>
      </c>
      <c r="K121" s="130" t="e">
        <f>IF(#REF!=0,"0,0%",J121/#REF!)</f>
        <v>#REF!</v>
      </c>
      <c r="L121" s="21">
        <f t="shared" si="18"/>
        <v>0</v>
      </c>
      <c r="M121" s="22" t="e">
        <f t="shared" si="19"/>
        <v>#DIV/0!</v>
      </c>
      <c r="N121" s="17">
        <f t="shared" si="20"/>
        <v>0</v>
      </c>
      <c r="O121" s="60"/>
      <c r="P121" s="60"/>
      <c r="Q121" s="20"/>
      <c r="R121" s="60"/>
      <c r="S121" s="60"/>
      <c r="T121" s="20"/>
    </row>
    <row r="122" spans="1:20" s="61" customFormat="1" ht="16.5">
      <c r="A122" s="108" t="s">
        <v>187</v>
      </c>
      <c r="B122" s="109" t="s">
        <v>188</v>
      </c>
      <c r="C122" s="98">
        <f>C123+C128+C165</f>
        <v>281345.09999999998</v>
      </c>
      <c r="D122" s="98">
        <f>D123+D128+D165</f>
        <v>210624.30000000002</v>
      </c>
      <c r="E122" s="98">
        <f>E123+E128+E165</f>
        <v>338803.6999999999</v>
      </c>
      <c r="F122" s="98">
        <f>F123+F128+F165</f>
        <v>258914.5</v>
      </c>
      <c r="G122" s="98">
        <f>G123+G128+G165</f>
        <v>338232.8</v>
      </c>
      <c r="H122" s="60">
        <f t="shared" si="22"/>
        <v>570.89999999990687</v>
      </c>
      <c r="I122" s="107">
        <f>G122/G297</f>
        <v>0.54834927531532696</v>
      </c>
      <c r="J122" s="60">
        <f>J123+J128+J165</f>
        <v>466325.1</v>
      </c>
      <c r="K122" s="20" t="e">
        <f>IF(#REF!=0,"0,0%",J122/#REF!)</f>
        <v>#REF!</v>
      </c>
      <c r="L122" s="21">
        <f t="shared" si="18"/>
        <v>-570.89999999990687</v>
      </c>
      <c r="M122" s="22">
        <f t="shared" si="19"/>
        <v>0.99831495346715549</v>
      </c>
      <c r="N122" s="17">
        <f t="shared" si="20"/>
        <v>79318.299999999988</v>
      </c>
      <c r="O122" s="60">
        <f>O123+O128+O165</f>
        <v>1516797.4</v>
      </c>
      <c r="P122" s="60">
        <f>P123+P128+P165</f>
        <v>166073.5</v>
      </c>
      <c r="Q122" s="20">
        <f t="shared" si="13"/>
        <v>0.10948957322843512</v>
      </c>
      <c r="R122" s="60">
        <f>R123+R128+R165</f>
        <v>1606340.9000000001</v>
      </c>
      <c r="S122" s="60">
        <f>S123+S128+S165</f>
        <v>193083.35</v>
      </c>
      <c r="T122" s="20">
        <f t="shared" si="14"/>
        <v>0.12020073074152565</v>
      </c>
    </row>
    <row r="123" spans="1:20" ht="16.5">
      <c r="A123" s="112" t="s">
        <v>189</v>
      </c>
      <c r="B123" s="116" t="s">
        <v>190</v>
      </c>
      <c r="C123" s="60">
        <f>C124</f>
        <v>21407.8</v>
      </c>
      <c r="D123" s="60">
        <f>D124+D125</f>
        <v>26000</v>
      </c>
      <c r="E123" s="60">
        <f>E124+E125+E126</f>
        <v>29174.1</v>
      </c>
      <c r="F123" s="60">
        <f>F124+F125+F126</f>
        <v>21407.8</v>
      </c>
      <c r="G123" s="60">
        <f>G124+G125+G126</f>
        <v>29174.1</v>
      </c>
      <c r="H123" s="60">
        <f t="shared" si="22"/>
        <v>0</v>
      </c>
      <c r="I123" s="107">
        <f>G123/G297</f>
        <v>4.7297590869297364E-2</v>
      </c>
      <c r="J123" s="60">
        <f>J124+J125</f>
        <v>25000</v>
      </c>
      <c r="K123" s="20" t="e">
        <f>IF(#REF!=0,"0,0%",J123/#REF!)</f>
        <v>#REF!</v>
      </c>
      <c r="L123" s="21">
        <f t="shared" si="18"/>
        <v>0</v>
      </c>
      <c r="M123" s="22">
        <f t="shared" si="19"/>
        <v>1</v>
      </c>
      <c r="N123" s="17">
        <f t="shared" si="20"/>
        <v>7766.2999999999993</v>
      </c>
      <c r="O123" s="60">
        <f>O124+O125</f>
        <v>53759</v>
      </c>
      <c r="P123" s="60">
        <f>P124+P125</f>
        <v>26000</v>
      </c>
      <c r="Q123" s="20">
        <f t="shared" si="13"/>
        <v>0.48363994865975929</v>
      </c>
      <c r="R123" s="60">
        <f>R124+R125</f>
        <v>58619</v>
      </c>
      <c r="S123" s="60">
        <f>S124+S125</f>
        <v>26000</v>
      </c>
      <c r="T123" s="20">
        <f t="shared" si="14"/>
        <v>0.44354219621624386</v>
      </c>
    </row>
    <row r="124" spans="1:20" ht="33" hidden="1">
      <c r="A124" s="8">
        <v>2200450</v>
      </c>
      <c r="B124" s="40" t="s">
        <v>191</v>
      </c>
      <c r="C124" s="30">
        <v>21407.8</v>
      </c>
      <c r="D124" s="30">
        <v>25000</v>
      </c>
      <c r="E124" s="30">
        <v>29174.1</v>
      </c>
      <c r="F124" s="30">
        <v>21407.8</v>
      </c>
      <c r="G124" s="30">
        <v>29174.1</v>
      </c>
      <c r="H124" s="30">
        <f t="shared" si="22"/>
        <v>0</v>
      </c>
      <c r="I124" s="107">
        <f>G124/G297</f>
        <v>4.7297590869297364E-2</v>
      </c>
      <c r="J124" s="30">
        <v>25000</v>
      </c>
      <c r="K124" s="32" t="e">
        <f>IF(#REF!=0,"0,0%",J124/#REF!)</f>
        <v>#REF!</v>
      </c>
      <c r="L124" s="21">
        <f t="shared" si="18"/>
        <v>0</v>
      </c>
      <c r="M124" s="22">
        <f t="shared" si="19"/>
        <v>1</v>
      </c>
      <c r="N124" s="17">
        <f t="shared" si="20"/>
        <v>7766.2999999999993</v>
      </c>
      <c r="O124" s="30">
        <v>49220</v>
      </c>
      <c r="P124" s="30">
        <v>25000</v>
      </c>
      <c r="Q124" s="32">
        <f t="shared" si="13"/>
        <v>0.50792360828931327</v>
      </c>
      <c r="R124" s="30">
        <v>50946</v>
      </c>
      <c r="S124" s="30">
        <v>25000</v>
      </c>
      <c r="T124" s="32">
        <f t="shared" si="14"/>
        <v>0.49071565971813291</v>
      </c>
    </row>
    <row r="125" spans="1:20" ht="16.5" hidden="1">
      <c r="A125" s="8"/>
      <c r="B125" s="40" t="s">
        <v>192</v>
      </c>
      <c r="C125" s="30">
        <v>0</v>
      </c>
      <c r="D125" s="30">
        <v>1000</v>
      </c>
      <c r="E125" s="30">
        <v>0</v>
      </c>
      <c r="F125" s="30">
        <v>0</v>
      </c>
      <c r="G125" s="30">
        <v>0</v>
      </c>
      <c r="H125" s="30">
        <f t="shared" si="22"/>
        <v>0</v>
      </c>
      <c r="I125" s="107">
        <f>G125/G297</f>
        <v>0</v>
      </c>
      <c r="J125" s="30">
        <v>0</v>
      </c>
      <c r="K125" s="32" t="e">
        <f>IF(#REF!=0,"0,0%",J125/#REF!)</f>
        <v>#REF!</v>
      </c>
      <c r="L125" s="21">
        <f t="shared" si="18"/>
        <v>0</v>
      </c>
      <c r="M125" s="22">
        <v>0</v>
      </c>
      <c r="N125" s="17">
        <f t="shared" si="20"/>
        <v>0</v>
      </c>
      <c r="O125" s="30">
        <v>4539</v>
      </c>
      <c r="P125" s="30">
        <v>1000</v>
      </c>
      <c r="Q125" s="32">
        <f t="shared" si="13"/>
        <v>0.22031284423881911</v>
      </c>
      <c r="R125" s="30">
        <v>7673</v>
      </c>
      <c r="S125" s="30">
        <v>1000</v>
      </c>
      <c r="T125" s="32">
        <f t="shared" si="14"/>
        <v>0.13032712107389549</v>
      </c>
    </row>
    <row r="126" spans="1:20" ht="33" hidden="1">
      <c r="A126" s="51">
        <v>5210609</v>
      </c>
      <c r="B126" s="52" t="s">
        <v>193</v>
      </c>
      <c r="C126" s="55">
        <v>0</v>
      </c>
      <c r="D126" s="55">
        <v>0</v>
      </c>
      <c r="E126" s="55">
        <v>0</v>
      </c>
      <c r="F126" s="55">
        <v>0</v>
      </c>
      <c r="G126" s="55">
        <v>0</v>
      </c>
      <c r="H126" s="30">
        <f t="shared" si="22"/>
        <v>0</v>
      </c>
      <c r="I126" s="107">
        <f>G126/G128</f>
        <v>0</v>
      </c>
      <c r="J126" s="55">
        <v>0</v>
      </c>
      <c r="K126" s="32" t="e">
        <f>IF(#REF!=0,"0,0%",J126/#REF!)</f>
        <v>#REF!</v>
      </c>
      <c r="L126" s="21">
        <f t="shared" si="18"/>
        <v>0</v>
      </c>
      <c r="M126" s="22" t="e">
        <f t="shared" si="19"/>
        <v>#DIV/0!</v>
      </c>
      <c r="N126" s="17">
        <f t="shared" si="20"/>
        <v>0</v>
      </c>
      <c r="O126" s="30"/>
      <c r="P126" s="30"/>
      <c r="Q126" s="32"/>
      <c r="R126" s="30"/>
      <c r="S126" s="30"/>
      <c r="T126" s="32"/>
    </row>
    <row r="127" spans="1:20" ht="16.5" hidden="1">
      <c r="A127" s="51">
        <v>5210610</v>
      </c>
      <c r="B127" s="52" t="s">
        <v>194</v>
      </c>
      <c r="C127" s="55">
        <v>0</v>
      </c>
      <c r="D127" s="55">
        <v>0</v>
      </c>
      <c r="E127" s="55">
        <v>0</v>
      </c>
      <c r="F127" s="55">
        <v>0</v>
      </c>
      <c r="G127" s="55">
        <v>0</v>
      </c>
      <c r="H127" s="30">
        <f t="shared" si="22"/>
        <v>0</v>
      </c>
      <c r="I127" s="107" t="e">
        <f>G127/G129</f>
        <v>#DIV/0!</v>
      </c>
      <c r="J127" s="55">
        <v>0</v>
      </c>
      <c r="K127" s="32" t="e">
        <f>IF(#REF!=0,"0,0%",J127/#REF!)</f>
        <v>#REF!</v>
      </c>
      <c r="L127" s="21">
        <f t="shared" si="18"/>
        <v>0</v>
      </c>
      <c r="M127" s="22" t="e">
        <f t="shared" si="19"/>
        <v>#DIV/0!</v>
      </c>
      <c r="N127" s="17">
        <f t="shared" si="20"/>
        <v>0</v>
      </c>
      <c r="O127" s="30"/>
      <c r="P127" s="30"/>
      <c r="Q127" s="32"/>
      <c r="R127" s="30"/>
      <c r="S127" s="30"/>
      <c r="T127" s="32"/>
    </row>
    <row r="128" spans="1:20" s="61" customFormat="1" ht="16.5">
      <c r="A128" s="112" t="s">
        <v>195</v>
      </c>
      <c r="B128" s="116" t="s">
        <v>196</v>
      </c>
      <c r="C128" s="60">
        <f>C129+C130+C144+C147+C150+C151+C153+C154+C142+C155+C157+C158+C143+C162+C164</f>
        <v>257621.7</v>
      </c>
      <c r="D128" s="60">
        <f>D129+D131+D141+D142+D143+D144+D146+D147</f>
        <v>182134.90000000002</v>
      </c>
      <c r="E128" s="48">
        <f>E129+E139+E140+E141+E142+E145+E151+E131+E143+E144+E147+E153</f>
        <v>307047.99999999994</v>
      </c>
      <c r="F128" s="60">
        <v>235481.7</v>
      </c>
      <c r="G128" s="48">
        <f>G129+G139+G140+G141+G142+G145+G151+G131+G143+G144+G147+G153</f>
        <v>306615.7</v>
      </c>
      <c r="H128" s="60">
        <f t="shared" si="22"/>
        <v>432.29999999993015</v>
      </c>
      <c r="I128" s="107">
        <f>G128/G297</f>
        <v>0.49709104763139977</v>
      </c>
      <c r="J128" s="60">
        <f>J129+J130+J138+J144+J147+J150+J151+J153+J154+J142+J155+J157+J158+J143+J162+J164</f>
        <v>438081.6</v>
      </c>
      <c r="K128" s="20" t="e">
        <f>IF(#REF!=0,"0,0%",J128/#REF!)</f>
        <v>#REF!</v>
      </c>
      <c r="L128" s="21">
        <f t="shared" si="18"/>
        <v>-432.29999999993015</v>
      </c>
      <c r="M128" s="22">
        <f t="shared" si="19"/>
        <v>0.99859207680883788</v>
      </c>
      <c r="N128" s="17">
        <f t="shared" si="20"/>
        <v>71134</v>
      </c>
      <c r="O128" s="60">
        <f>O129+O130+O147+O150+O153+O138+O154</f>
        <v>1463038.4</v>
      </c>
      <c r="P128" s="60">
        <f>P129+P130+P147+P150+P153+P138+P154</f>
        <v>140073.5</v>
      </c>
      <c r="Q128" s="20">
        <f t="shared" si="13"/>
        <v>9.5741506169626178E-2</v>
      </c>
      <c r="R128" s="60">
        <f>R129+R130+R147+R150+R153+R138+R154</f>
        <v>1547721.9000000001</v>
      </c>
      <c r="S128" s="60">
        <f>S129+S130+S147+S150+S153+S138+S154</f>
        <v>167083.35</v>
      </c>
      <c r="T128" s="20">
        <f t="shared" si="14"/>
        <v>0.10795437474910705</v>
      </c>
    </row>
    <row r="129" spans="1:21" ht="16.5">
      <c r="A129" s="114" t="s">
        <v>197</v>
      </c>
      <c r="B129" s="52" t="s">
        <v>198</v>
      </c>
      <c r="C129" s="55">
        <v>0</v>
      </c>
      <c r="D129" s="55">
        <v>5270</v>
      </c>
      <c r="E129" s="55">
        <v>0</v>
      </c>
      <c r="F129" s="55">
        <v>0</v>
      </c>
      <c r="G129" s="55">
        <v>0</v>
      </c>
      <c r="H129" s="55">
        <f t="shared" si="22"/>
        <v>0</v>
      </c>
      <c r="I129" s="107">
        <f>G129/G297</f>
        <v>0</v>
      </c>
      <c r="J129" s="30">
        <v>0</v>
      </c>
      <c r="K129" s="32" t="e">
        <f>IF(#REF!=0,"0,0%",J129/#REF!)</f>
        <v>#REF!</v>
      </c>
      <c r="L129" s="21">
        <f t="shared" si="18"/>
        <v>0</v>
      </c>
      <c r="M129" s="22">
        <v>0</v>
      </c>
      <c r="N129" s="17">
        <f t="shared" si="20"/>
        <v>0</v>
      </c>
      <c r="O129" s="55">
        <v>0</v>
      </c>
      <c r="P129" s="30">
        <v>0</v>
      </c>
      <c r="Q129" s="32" t="str">
        <f t="shared" si="13"/>
        <v>0,0%</v>
      </c>
      <c r="R129" s="55">
        <v>0</v>
      </c>
      <c r="S129" s="30">
        <v>0</v>
      </c>
      <c r="T129" s="32" t="str">
        <f t="shared" si="14"/>
        <v>0,0%</v>
      </c>
    </row>
    <row r="130" spans="1:21" s="61" customFormat="1" ht="16.5" hidden="1">
      <c r="A130" s="119">
        <v>2900000</v>
      </c>
      <c r="B130" s="134" t="s">
        <v>199</v>
      </c>
      <c r="C130" s="21">
        <f>C131+C136</f>
        <v>208392.6</v>
      </c>
      <c r="D130" s="21">
        <f>D131+D136</f>
        <v>111625.3</v>
      </c>
      <c r="E130" s="48">
        <f>E131+E141+E142+E143+E144+E147+E153</f>
        <v>307048</v>
      </c>
      <c r="F130" s="48">
        <v>235481.7</v>
      </c>
      <c r="G130" s="48">
        <f>G131+G141+G142+G143+G144+G147+G153</f>
        <v>306615.7</v>
      </c>
      <c r="H130" s="48">
        <f t="shared" si="22"/>
        <v>432.29999999998836</v>
      </c>
      <c r="I130" s="107">
        <f>G130/G297</f>
        <v>0.49709104763139977</v>
      </c>
      <c r="J130" s="48">
        <f>J131+J136</f>
        <v>292054.39999999997</v>
      </c>
      <c r="K130" s="20" t="e">
        <f>IF(#REF!=0,"0,0%",J130/#REF!)</f>
        <v>#REF!</v>
      </c>
      <c r="L130" s="21">
        <f t="shared" si="18"/>
        <v>-432.29999999998836</v>
      </c>
      <c r="M130" s="22">
        <f t="shared" si="19"/>
        <v>0.99859207680883777</v>
      </c>
      <c r="N130" s="17">
        <f t="shared" si="20"/>
        <v>71134</v>
      </c>
      <c r="O130" s="48">
        <f>O131+O136</f>
        <v>491990.7</v>
      </c>
      <c r="P130" s="48">
        <f>P131+P136</f>
        <v>140073.5</v>
      </c>
      <c r="Q130" s="20">
        <f t="shared" si="13"/>
        <v>0.28470761744073619</v>
      </c>
      <c r="R130" s="48">
        <f>R131+R136</f>
        <v>497224.8</v>
      </c>
      <c r="S130" s="48">
        <f>S131+S136</f>
        <v>167083.35</v>
      </c>
      <c r="T130" s="20">
        <f t="shared" si="14"/>
        <v>0.33603181096357221</v>
      </c>
    </row>
    <row r="131" spans="1:21" ht="33">
      <c r="A131" s="114" t="s">
        <v>200</v>
      </c>
      <c r="B131" s="115" t="s">
        <v>201</v>
      </c>
      <c r="C131" s="136">
        <f>182581.7+17327.9</f>
        <v>199909.6</v>
      </c>
      <c r="D131" s="136">
        <f>111625.3</f>
        <v>111625.3</v>
      </c>
      <c r="E131" s="136">
        <f>128776+72999.3+1221.7+1741.1+618+0.1</f>
        <v>205356.2</v>
      </c>
      <c r="F131" s="136">
        <v>182581.7</v>
      </c>
      <c r="G131" s="136">
        <f>128775.9+72999.3+1221.7+1741.1+618</f>
        <v>205356.00000000003</v>
      </c>
      <c r="H131" s="136">
        <f t="shared" si="22"/>
        <v>0.1999999999825377</v>
      </c>
      <c r="I131" s="107">
        <f t="shared" ref="I131:I140" si="26">G131/G297</f>
        <v>0.33292694789403721</v>
      </c>
      <c r="J131" s="136">
        <f t="shared" ref="J131:J141" si="27">170116.3-1730-10014.2+439-200-1200-700+290+1000-11973.9</f>
        <v>146027.19999999998</v>
      </c>
      <c r="K131" s="32" t="e">
        <f>IF(#REF!=0,"0,0%",J131/#REF!)</f>
        <v>#REF!</v>
      </c>
      <c r="L131" s="21">
        <f t="shared" si="18"/>
        <v>-0.1999999999825377</v>
      </c>
      <c r="M131" s="22">
        <f t="shared" si="19"/>
        <v>0.99999902608248503</v>
      </c>
      <c r="N131" s="17">
        <f t="shared" si="20"/>
        <v>22774.300000000017</v>
      </c>
      <c r="O131" s="136">
        <f>O132+O133+O134</f>
        <v>185960.7</v>
      </c>
      <c r="P131" s="136">
        <f>P132+P133+P134</f>
        <v>126025.7</v>
      </c>
      <c r="Q131" s="32">
        <f t="shared" ref="Q131:Q244" si="28">IF(O131=0,"0,0%",P131/O131)</f>
        <v>0.67770071848514224</v>
      </c>
      <c r="R131" s="136">
        <f>R132+R133+R134</f>
        <v>191194.8</v>
      </c>
      <c r="S131" s="136">
        <f>S132+S133+S134</f>
        <v>160406.25</v>
      </c>
      <c r="T131" s="32">
        <f t="shared" ref="T131:T244" si="29">IF(R131=0,"0,0%",S131/R131)</f>
        <v>0.83896763928726104</v>
      </c>
      <c r="U131" s="3">
        <f>158001.1-11473.9</f>
        <v>146527.20000000001</v>
      </c>
    </row>
    <row r="132" spans="1:21" ht="33" hidden="1">
      <c r="A132" s="114" t="s">
        <v>202</v>
      </c>
      <c r="B132" s="115" t="s">
        <v>203</v>
      </c>
      <c r="C132" s="55"/>
      <c r="D132" s="55"/>
      <c r="E132" s="55"/>
      <c r="F132" s="55"/>
      <c r="G132" s="55"/>
      <c r="H132" s="55">
        <f t="shared" si="22"/>
        <v>0</v>
      </c>
      <c r="I132" s="107" t="e">
        <f t="shared" si="26"/>
        <v>#DIV/0!</v>
      </c>
      <c r="J132" s="55">
        <f t="shared" si="27"/>
        <v>146027.19999999998</v>
      </c>
      <c r="K132" s="32" t="e">
        <f>IF(#REF!=0,"0,0%",J132/#REF!)</f>
        <v>#REF!</v>
      </c>
      <c r="L132" s="21">
        <f t="shared" si="18"/>
        <v>0</v>
      </c>
      <c r="M132" s="22" t="e">
        <f t="shared" si="19"/>
        <v>#DIV/0!</v>
      </c>
      <c r="N132" s="17">
        <f t="shared" si="20"/>
        <v>0</v>
      </c>
      <c r="O132" s="55">
        <v>179805</v>
      </c>
      <c r="P132" s="55">
        <f>O132/12*8</f>
        <v>119870</v>
      </c>
      <c r="Q132" s="32">
        <f t="shared" si="28"/>
        <v>0.66666666666666663</v>
      </c>
      <c r="R132" s="55">
        <v>184731.3</v>
      </c>
      <c r="S132" s="55">
        <f>R132/12*10</f>
        <v>153942.75</v>
      </c>
      <c r="T132" s="32">
        <f t="shared" si="29"/>
        <v>0.83333333333333337</v>
      </c>
    </row>
    <row r="133" spans="1:21" ht="33" hidden="1">
      <c r="A133" s="114" t="s">
        <v>204</v>
      </c>
      <c r="B133" s="115" t="s">
        <v>205</v>
      </c>
      <c r="C133" s="55"/>
      <c r="D133" s="55"/>
      <c r="E133" s="55"/>
      <c r="F133" s="55"/>
      <c r="G133" s="55"/>
      <c r="H133" s="55">
        <f t="shared" si="22"/>
        <v>0</v>
      </c>
      <c r="I133" s="107">
        <f t="shared" si="26"/>
        <v>0</v>
      </c>
      <c r="J133" s="30">
        <f t="shared" si="27"/>
        <v>146027.19999999998</v>
      </c>
      <c r="K133" s="32" t="e">
        <f>IF(#REF!=0,"0,0%",J133/#REF!)</f>
        <v>#REF!</v>
      </c>
      <c r="L133" s="21">
        <f t="shared" si="18"/>
        <v>0</v>
      </c>
      <c r="M133" s="22" t="e">
        <f t="shared" si="19"/>
        <v>#DIV/0!</v>
      </c>
      <c r="N133" s="17">
        <f t="shared" si="20"/>
        <v>0</v>
      </c>
      <c r="O133" s="55">
        <v>0</v>
      </c>
      <c r="P133" s="30">
        <v>0</v>
      </c>
      <c r="Q133" s="32" t="str">
        <f t="shared" si="28"/>
        <v>0,0%</v>
      </c>
      <c r="R133" s="55">
        <v>0</v>
      </c>
      <c r="S133" s="30">
        <v>0</v>
      </c>
      <c r="T133" s="32" t="str">
        <f t="shared" si="29"/>
        <v>0,0%</v>
      </c>
    </row>
    <row r="134" spans="1:21" ht="33" hidden="1">
      <c r="A134" s="114" t="s">
        <v>202</v>
      </c>
      <c r="B134" s="115" t="s">
        <v>206</v>
      </c>
      <c r="C134" s="136"/>
      <c r="D134" s="136"/>
      <c r="E134" s="137"/>
      <c r="F134" s="30"/>
      <c r="G134" s="137"/>
      <c r="H134" s="137">
        <f t="shared" si="22"/>
        <v>0</v>
      </c>
      <c r="I134" s="107">
        <f t="shared" si="26"/>
        <v>0</v>
      </c>
      <c r="J134" s="55">
        <f t="shared" si="27"/>
        <v>146027.19999999998</v>
      </c>
      <c r="K134" s="32" t="e">
        <f>IF(#REF!=0,"0,0%",J134/#REF!)</f>
        <v>#REF!</v>
      </c>
      <c r="L134" s="21">
        <f t="shared" ref="L134:L197" si="30">G134-E134</f>
        <v>0</v>
      </c>
      <c r="M134" s="22" t="e">
        <f t="shared" ref="M134:M197" si="31">G134/E134</f>
        <v>#DIV/0!</v>
      </c>
      <c r="N134" s="17">
        <f t="shared" ref="N134:N197" si="32">G134-F134</f>
        <v>0</v>
      </c>
      <c r="O134" s="30">
        <v>6155.7</v>
      </c>
      <c r="P134" s="55">
        <v>6155.7</v>
      </c>
      <c r="Q134" s="32">
        <f t="shared" si="28"/>
        <v>1</v>
      </c>
      <c r="R134" s="30">
        <v>6463.5</v>
      </c>
      <c r="S134" s="55">
        <v>6463.5</v>
      </c>
      <c r="T134" s="32">
        <f t="shared" si="29"/>
        <v>1</v>
      </c>
    </row>
    <row r="135" spans="1:21" ht="16.5" hidden="1">
      <c r="A135" s="114"/>
      <c r="B135" s="138" t="s">
        <v>207</v>
      </c>
      <c r="C135" s="136"/>
      <c r="D135" s="136"/>
      <c r="E135" s="137"/>
      <c r="F135" s="30"/>
      <c r="G135" s="137"/>
      <c r="H135" s="137"/>
      <c r="I135" s="107">
        <f t="shared" si="26"/>
        <v>0</v>
      </c>
      <c r="J135" s="55">
        <f t="shared" si="27"/>
        <v>146027.19999999998</v>
      </c>
      <c r="K135" s="32" t="e">
        <f>IF(#REF!=0,"0,0%",J135/#REF!)</f>
        <v>#REF!</v>
      </c>
      <c r="L135" s="21">
        <f t="shared" si="30"/>
        <v>0</v>
      </c>
      <c r="M135" s="22" t="e">
        <f t="shared" si="31"/>
        <v>#DIV/0!</v>
      </c>
      <c r="N135" s="17">
        <f t="shared" si="32"/>
        <v>0</v>
      </c>
      <c r="O135" s="30"/>
      <c r="P135" s="55"/>
      <c r="Q135" s="32"/>
      <c r="R135" s="30"/>
      <c r="S135" s="55"/>
      <c r="T135" s="32"/>
    </row>
    <row r="136" spans="1:21" ht="66" hidden="1">
      <c r="A136" s="114"/>
      <c r="B136" s="115" t="s">
        <v>208</v>
      </c>
      <c r="C136" s="55">
        <v>8483</v>
      </c>
      <c r="D136" s="55">
        <v>0</v>
      </c>
      <c r="E136" s="55">
        <v>0</v>
      </c>
      <c r="F136" s="55">
        <v>0</v>
      </c>
      <c r="G136" s="55"/>
      <c r="H136" s="55">
        <f t="shared" si="22"/>
        <v>0</v>
      </c>
      <c r="I136" s="107" t="e">
        <f t="shared" si="26"/>
        <v>#DIV/0!</v>
      </c>
      <c r="J136" s="55">
        <f t="shared" si="27"/>
        <v>146027.19999999998</v>
      </c>
      <c r="K136" s="32" t="e">
        <f>IF(#REF!=0,"0,0%",J136/#REF!)</f>
        <v>#REF!</v>
      </c>
      <c r="L136" s="21">
        <f t="shared" si="30"/>
        <v>0</v>
      </c>
      <c r="M136" s="22" t="e">
        <f t="shared" si="31"/>
        <v>#DIV/0!</v>
      </c>
      <c r="N136" s="17">
        <f t="shared" si="32"/>
        <v>0</v>
      </c>
      <c r="O136" s="55">
        <f>O137</f>
        <v>306030</v>
      </c>
      <c r="P136" s="55">
        <f>P137</f>
        <v>14047.8</v>
      </c>
      <c r="Q136" s="32">
        <f t="shared" si="28"/>
        <v>4.5903342809528472E-2</v>
      </c>
      <c r="R136" s="55">
        <f>R137</f>
        <v>306030</v>
      </c>
      <c r="S136" s="55">
        <f>S137</f>
        <v>6677.1</v>
      </c>
      <c r="T136" s="32">
        <f t="shared" si="29"/>
        <v>2.181844917164984E-2</v>
      </c>
      <c r="U136" s="3">
        <f>58597.9-3000</f>
        <v>55597.9</v>
      </c>
    </row>
    <row r="137" spans="1:21" s="143" customFormat="1" ht="16.5" hidden="1">
      <c r="A137" s="139" t="s">
        <v>202</v>
      </c>
      <c r="B137" s="140" t="s">
        <v>209</v>
      </c>
      <c r="C137" s="55"/>
      <c r="D137" s="55">
        <v>13150</v>
      </c>
      <c r="E137" s="55">
        <v>12343</v>
      </c>
      <c r="F137" s="55">
        <v>3900</v>
      </c>
      <c r="G137" s="55">
        <v>12343</v>
      </c>
      <c r="H137" s="55">
        <f t="shared" si="22"/>
        <v>0</v>
      </c>
      <c r="I137" s="107">
        <f t="shared" si="26"/>
        <v>0.62834394742334465</v>
      </c>
      <c r="J137" s="55">
        <f t="shared" si="27"/>
        <v>146027.19999999998</v>
      </c>
      <c r="K137" s="32" t="e">
        <f>IF(#REF!=0,"0,0%",J137/#REF!)</f>
        <v>#REF!</v>
      </c>
      <c r="L137" s="21">
        <f t="shared" si="30"/>
        <v>0</v>
      </c>
      <c r="M137" s="22">
        <f t="shared" si="31"/>
        <v>1</v>
      </c>
      <c r="N137" s="17">
        <f t="shared" si="32"/>
        <v>8443</v>
      </c>
      <c r="O137" s="141">
        <v>306030</v>
      </c>
      <c r="P137" s="141">
        <v>14047.8</v>
      </c>
      <c r="Q137" s="142">
        <f t="shared" si="28"/>
        <v>4.5903342809528472E-2</v>
      </c>
      <c r="R137" s="141">
        <v>306030</v>
      </c>
      <c r="S137" s="141">
        <v>6677.1</v>
      </c>
      <c r="T137" s="142">
        <f t="shared" si="29"/>
        <v>2.181844917164984E-2</v>
      </c>
    </row>
    <row r="138" spans="1:21" s="61" customFormat="1" ht="132" hidden="1">
      <c r="A138" s="144">
        <v>7954500</v>
      </c>
      <c r="B138" s="145" t="s">
        <v>210</v>
      </c>
      <c r="C138" s="60">
        <v>5.8</v>
      </c>
      <c r="D138" s="60">
        <v>0</v>
      </c>
      <c r="E138" s="60">
        <v>0</v>
      </c>
      <c r="F138" s="60">
        <v>0</v>
      </c>
      <c r="G138" s="60">
        <v>0</v>
      </c>
      <c r="H138" s="55">
        <f t="shared" si="22"/>
        <v>0</v>
      </c>
      <c r="I138" s="107">
        <f t="shared" si="26"/>
        <v>0</v>
      </c>
      <c r="J138" s="55">
        <f t="shared" si="27"/>
        <v>146027.19999999998</v>
      </c>
      <c r="K138" s="32" t="e">
        <f>IF(#REF!=0,"0,0%",J138/#REF!)</f>
        <v>#REF!</v>
      </c>
      <c r="L138" s="21">
        <f t="shared" si="30"/>
        <v>0</v>
      </c>
      <c r="M138" s="22" t="e">
        <f t="shared" si="31"/>
        <v>#DIV/0!</v>
      </c>
      <c r="N138" s="17">
        <f t="shared" si="32"/>
        <v>0</v>
      </c>
      <c r="O138" s="60">
        <f>O144</f>
        <v>971047.7</v>
      </c>
      <c r="P138" s="60">
        <f>P144</f>
        <v>0</v>
      </c>
      <c r="Q138" s="20">
        <f t="shared" si="28"/>
        <v>0</v>
      </c>
      <c r="R138" s="60">
        <f>R144</f>
        <v>1050497.1000000001</v>
      </c>
      <c r="S138" s="60">
        <f>S144</f>
        <v>0</v>
      </c>
      <c r="T138" s="20">
        <f t="shared" si="29"/>
        <v>0</v>
      </c>
    </row>
    <row r="139" spans="1:21" ht="16.5" hidden="1">
      <c r="A139" s="51"/>
      <c r="B139" s="52" t="s">
        <v>211</v>
      </c>
      <c r="C139" s="30">
        <v>0</v>
      </c>
      <c r="D139" s="30">
        <v>0</v>
      </c>
      <c r="E139" s="30">
        <v>0</v>
      </c>
      <c r="F139" s="30">
        <v>0</v>
      </c>
      <c r="G139" s="30"/>
      <c r="H139" s="55">
        <f t="shared" si="22"/>
        <v>0</v>
      </c>
      <c r="I139" s="107">
        <f t="shared" si="26"/>
        <v>0</v>
      </c>
      <c r="J139" s="30">
        <f t="shared" si="27"/>
        <v>146027.19999999998</v>
      </c>
      <c r="K139" s="32" t="e">
        <f>IF(#REF!=0,"0,0%",J139/#REF!)</f>
        <v>#REF!</v>
      </c>
      <c r="L139" s="21">
        <f t="shared" si="30"/>
        <v>0</v>
      </c>
      <c r="M139" s="22" t="e">
        <f t="shared" si="31"/>
        <v>#DIV/0!</v>
      </c>
      <c r="N139" s="17">
        <f t="shared" si="32"/>
        <v>0</v>
      </c>
      <c r="O139" s="30"/>
      <c r="P139" s="30"/>
      <c r="Q139" s="32"/>
      <c r="R139" s="30"/>
      <c r="S139" s="30"/>
      <c r="T139" s="32"/>
    </row>
    <row r="140" spans="1:21" ht="16.5" hidden="1">
      <c r="A140" s="51"/>
      <c r="B140" s="138" t="s">
        <v>207</v>
      </c>
      <c r="C140" s="30"/>
      <c r="D140" s="30"/>
      <c r="E140" s="30"/>
      <c r="F140" s="30"/>
      <c r="G140" s="30"/>
      <c r="H140" s="55"/>
      <c r="I140" s="107">
        <f t="shared" si="26"/>
        <v>0</v>
      </c>
      <c r="J140" s="30">
        <f t="shared" si="27"/>
        <v>146027.19999999998</v>
      </c>
      <c r="K140" s="32" t="e">
        <f>IF(#REF!=0,"0,0%",J140/#REF!)</f>
        <v>#REF!</v>
      </c>
      <c r="L140" s="21">
        <f t="shared" si="30"/>
        <v>0</v>
      </c>
      <c r="M140" s="22" t="e">
        <f t="shared" si="31"/>
        <v>#DIV/0!</v>
      </c>
      <c r="N140" s="17">
        <f t="shared" si="32"/>
        <v>0</v>
      </c>
      <c r="O140" s="30"/>
      <c r="P140" s="30"/>
      <c r="Q140" s="32"/>
      <c r="R140" s="30"/>
      <c r="S140" s="30"/>
      <c r="T140" s="32"/>
    </row>
    <row r="141" spans="1:21" ht="33">
      <c r="A141" s="51"/>
      <c r="B141" s="115" t="s">
        <v>212</v>
      </c>
      <c r="C141" s="30"/>
      <c r="D141" s="30">
        <v>8280.6</v>
      </c>
      <c r="E141" s="30">
        <f>30692.4+463.3+6123.4</f>
        <v>37279.1</v>
      </c>
      <c r="F141" s="30">
        <v>8483</v>
      </c>
      <c r="G141" s="30">
        <f>30692.3+335.9+6123.4</f>
        <v>37151.599999999999</v>
      </c>
      <c r="H141" s="55"/>
      <c r="I141" s="107">
        <f>G141/G297</f>
        <v>6.0230861515515058E-2</v>
      </c>
      <c r="J141" s="30">
        <f t="shared" si="27"/>
        <v>146027.19999999998</v>
      </c>
      <c r="K141" s="32" t="e">
        <f>IF(#REF!=0,"0,0%",J141/#REF!)</f>
        <v>#REF!</v>
      </c>
      <c r="L141" s="21">
        <f t="shared" si="30"/>
        <v>-127.5</v>
      </c>
      <c r="M141" s="22">
        <f t="shared" si="31"/>
        <v>0.99657985305439245</v>
      </c>
      <c r="N141" s="17">
        <f t="shared" si="32"/>
        <v>28668.6</v>
      </c>
      <c r="O141" s="30"/>
      <c r="P141" s="30"/>
      <c r="Q141" s="32"/>
      <c r="R141" s="30"/>
      <c r="S141" s="30"/>
      <c r="T141" s="32"/>
    </row>
    <row r="142" spans="1:21" ht="33">
      <c r="A142" s="51" t="s">
        <v>213</v>
      </c>
      <c r="B142" s="52" t="s">
        <v>214</v>
      </c>
      <c r="C142" s="55">
        <f>23190+4261</f>
        <v>27451</v>
      </c>
      <c r="D142" s="55">
        <f>26405</f>
        <v>26405</v>
      </c>
      <c r="E142" s="55">
        <f>26405</f>
        <v>26405</v>
      </c>
      <c r="F142" s="55">
        <v>23190</v>
      </c>
      <c r="G142" s="55">
        <v>26405</v>
      </c>
      <c r="H142" s="55">
        <f>E142-G142</f>
        <v>0</v>
      </c>
      <c r="I142" s="107">
        <f>G142/G297</f>
        <v>4.2808274699263967E-2</v>
      </c>
      <c r="J142" s="55">
        <v>0</v>
      </c>
      <c r="K142" s="130" t="e">
        <f>IF(#REF!=0,"0,0%",J142/#REF!)</f>
        <v>#REF!</v>
      </c>
      <c r="L142" s="21">
        <f t="shared" si="30"/>
        <v>0</v>
      </c>
      <c r="M142" s="22">
        <f t="shared" si="31"/>
        <v>1</v>
      </c>
      <c r="N142" s="17">
        <f t="shared" si="32"/>
        <v>3215</v>
      </c>
      <c r="O142" s="55">
        <v>0</v>
      </c>
      <c r="P142" s="55">
        <v>0</v>
      </c>
      <c r="Q142" s="130" t="str">
        <f>IF(O142=0,"0,0%",P142/O142)</f>
        <v>0,0%</v>
      </c>
      <c r="R142" s="55">
        <v>0</v>
      </c>
      <c r="S142" s="55">
        <v>0</v>
      </c>
      <c r="T142" s="130" t="str">
        <f>IF(R142=0,"0,0%",S142/R142)</f>
        <v>0,0%</v>
      </c>
    </row>
    <row r="143" spans="1:21" ht="49.5">
      <c r="A143" s="51">
        <v>5210614</v>
      </c>
      <c r="B143" s="52" t="s">
        <v>215</v>
      </c>
      <c r="C143" s="55">
        <v>0</v>
      </c>
      <c r="D143" s="55">
        <v>0</v>
      </c>
      <c r="E143" s="55">
        <v>434.6</v>
      </c>
      <c r="F143" s="55">
        <v>0</v>
      </c>
      <c r="G143" s="55">
        <v>130</v>
      </c>
      <c r="H143" s="55">
        <f>E143-G143</f>
        <v>304.60000000000002</v>
      </c>
      <c r="I143" s="146">
        <f>G143/G297</f>
        <v>2.1075840601796311E-4</v>
      </c>
      <c r="J143" s="48">
        <v>0</v>
      </c>
      <c r="K143" s="35" t="e">
        <f>IF(#REF!=0,"0,0%",J143/#REF!)</f>
        <v>#REF!</v>
      </c>
      <c r="L143" s="21">
        <f t="shared" si="30"/>
        <v>-304.60000000000002</v>
      </c>
      <c r="M143" s="22">
        <f t="shared" si="31"/>
        <v>0.2991256327657616</v>
      </c>
      <c r="N143" s="147">
        <f t="shared" si="32"/>
        <v>130</v>
      </c>
      <c r="O143" s="55"/>
      <c r="P143" s="55"/>
      <c r="Q143" s="130"/>
      <c r="R143" s="55"/>
      <c r="S143" s="55"/>
      <c r="T143" s="130"/>
    </row>
    <row r="144" spans="1:21" ht="33">
      <c r="A144" s="114" t="s">
        <v>216</v>
      </c>
      <c r="B144" s="52" t="s">
        <v>217</v>
      </c>
      <c r="C144" s="55">
        <f>3929+556.9</f>
        <v>4485.8999999999996</v>
      </c>
      <c r="D144" s="55">
        <v>24055.599999999999</v>
      </c>
      <c r="E144" s="55">
        <v>24055.599999999999</v>
      </c>
      <c r="F144" s="55">
        <v>3929</v>
      </c>
      <c r="G144" s="55">
        <v>24055.599999999999</v>
      </c>
      <c r="H144" s="55">
        <f t="shared" si="22"/>
        <v>0</v>
      </c>
      <c r="I144" s="107">
        <f>G144/G297</f>
        <v>3.8999383936967023E-2</v>
      </c>
      <c r="J144" s="55">
        <v>0</v>
      </c>
      <c r="K144" s="32" t="e">
        <f>IF(#REF!=0,"0,0%",J144/#REF!)</f>
        <v>#REF!</v>
      </c>
      <c r="L144" s="21">
        <f t="shared" si="30"/>
        <v>0</v>
      </c>
      <c r="M144" s="22">
        <f t="shared" si="31"/>
        <v>1</v>
      </c>
      <c r="N144" s="17">
        <f t="shared" si="32"/>
        <v>20126.599999999999</v>
      </c>
      <c r="O144" s="55">
        <v>971047.7</v>
      </c>
      <c r="P144" s="55">
        <v>0</v>
      </c>
      <c r="Q144" s="32">
        <f t="shared" si="28"/>
        <v>0</v>
      </c>
      <c r="R144" s="55">
        <v>1050497.1000000001</v>
      </c>
      <c r="S144" s="55">
        <v>0</v>
      </c>
      <c r="T144" s="32">
        <f t="shared" si="29"/>
        <v>0</v>
      </c>
    </row>
    <row r="145" spans="1:20" ht="16.5" hidden="1">
      <c r="A145" s="114"/>
      <c r="B145" s="52" t="s">
        <v>211</v>
      </c>
      <c r="C145" s="55"/>
      <c r="D145" s="55"/>
      <c r="E145" s="55">
        <v>0</v>
      </c>
      <c r="F145" s="55">
        <v>0</v>
      </c>
      <c r="G145" s="55"/>
      <c r="H145" s="55"/>
      <c r="I145" s="107">
        <f>G145/G297</f>
        <v>0</v>
      </c>
      <c r="J145" s="55">
        <v>0</v>
      </c>
      <c r="K145" s="32"/>
      <c r="L145" s="21">
        <f t="shared" si="30"/>
        <v>0</v>
      </c>
      <c r="M145" s="22" t="e">
        <f t="shared" si="31"/>
        <v>#DIV/0!</v>
      </c>
      <c r="N145" s="17">
        <f t="shared" si="32"/>
        <v>0</v>
      </c>
      <c r="O145" s="55"/>
      <c r="P145" s="55"/>
      <c r="Q145" s="32"/>
      <c r="R145" s="55"/>
      <c r="S145" s="55"/>
      <c r="T145" s="32"/>
    </row>
    <row r="146" spans="1:20" ht="16.5" hidden="1">
      <c r="A146" s="114"/>
      <c r="B146" s="52" t="s">
        <v>218</v>
      </c>
      <c r="C146" s="55">
        <f>3929+556.9</f>
        <v>4485.8999999999996</v>
      </c>
      <c r="D146" s="55"/>
      <c r="E146" s="55">
        <v>0</v>
      </c>
      <c r="F146" s="55">
        <v>2774.1</v>
      </c>
      <c r="G146" s="55">
        <v>0</v>
      </c>
      <c r="H146" s="55">
        <f>E146-G146</f>
        <v>0</v>
      </c>
      <c r="I146" s="107">
        <f>G146/G297</f>
        <v>0</v>
      </c>
      <c r="J146" s="55">
        <v>0</v>
      </c>
      <c r="K146" s="32" t="e">
        <f>IF(#REF!=0,"0,0%",J146/#REF!)</f>
        <v>#REF!</v>
      </c>
      <c r="L146" s="21">
        <f>G146-E146</f>
        <v>0</v>
      </c>
      <c r="M146" s="22">
        <v>0</v>
      </c>
      <c r="N146" s="17">
        <f>G146-F146</f>
        <v>-2774.1</v>
      </c>
      <c r="O146" s="55">
        <v>971047.7</v>
      </c>
      <c r="P146" s="55">
        <v>0</v>
      </c>
      <c r="Q146" s="32">
        <f>IF(O146=0,"0,0%",P146/O146)</f>
        <v>0</v>
      </c>
      <c r="R146" s="55">
        <v>1050497.1000000001</v>
      </c>
      <c r="S146" s="55">
        <v>0</v>
      </c>
      <c r="T146" s="32">
        <f>IF(R146=0,"0,0%",S146/R146)</f>
        <v>0</v>
      </c>
    </row>
    <row r="147" spans="1:20" s="61" customFormat="1" ht="99">
      <c r="A147" s="124">
        <v>7950202</v>
      </c>
      <c r="B147" s="145" t="s">
        <v>219</v>
      </c>
      <c r="C147" s="148">
        <v>3662.9</v>
      </c>
      <c r="D147" s="148">
        <v>6498.4</v>
      </c>
      <c r="E147" s="148">
        <v>2482.6</v>
      </c>
      <c r="F147" s="148">
        <v>0</v>
      </c>
      <c r="G147" s="148">
        <v>2482.6</v>
      </c>
      <c r="H147" s="148">
        <f t="shared" si="22"/>
        <v>0</v>
      </c>
      <c r="I147" s="107">
        <f>G147/G297</f>
        <v>4.0248370675399631E-3</v>
      </c>
      <c r="J147" s="148">
        <v>0</v>
      </c>
      <c r="K147" s="20" t="e">
        <f>IF(#REF!=0,"0,0%",J147/#REF!)</f>
        <v>#REF!</v>
      </c>
      <c r="L147" s="21">
        <f t="shared" si="30"/>
        <v>0</v>
      </c>
      <c r="M147" s="22">
        <f t="shared" si="31"/>
        <v>1</v>
      </c>
      <c r="N147" s="17">
        <f t="shared" si="32"/>
        <v>2482.6</v>
      </c>
      <c r="O147" s="148">
        <v>0</v>
      </c>
      <c r="P147" s="148">
        <v>0</v>
      </c>
      <c r="Q147" s="20" t="str">
        <f t="shared" si="28"/>
        <v>0,0%</v>
      </c>
      <c r="R147" s="148">
        <v>0</v>
      </c>
      <c r="S147" s="148">
        <v>0</v>
      </c>
      <c r="T147" s="20" t="str">
        <f t="shared" si="29"/>
        <v>0,0%</v>
      </c>
    </row>
    <row r="148" spans="1:20" ht="16.5" hidden="1">
      <c r="A148" s="114" t="s">
        <v>202</v>
      </c>
      <c r="B148" s="115" t="s">
        <v>220</v>
      </c>
      <c r="C148" s="55"/>
      <c r="D148" s="55"/>
      <c r="E148" s="55"/>
      <c r="F148" s="55"/>
      <c r="G148" s="55"/>
      <c r="H148" s="55">
        <f t="shared" si="22"/>
        <v>0</v>
      </c>
      <c r="I148" s="107" t="e">
        <f>G148/G150</f>
        <v>#DIV/0!</v>
      </c>
      <c r="J148" s="55"/>
      <c r="K148" s="32" t="e">
        <f>IF(#REF!=0,"0,0%",J148/#REF!)</f>
        <v>#REF!</v>
      </c>
      <c r="L148" s="21">
        <f t="shared" si="30"/>
        <v>0</v>
      </c>
      <c r="M148" s="22" t="e">
        <f t="shared" si="31"/>
        <v>#DIV/0!</v>
      </c>
      <c r="N148" s="17">
        <f t="shared" si="32"/>
        <v>0</v>
      </c>
      <c r="O148" s="55">
        <v>0</v>
      </c>
      <c r="P148" s="55">
        <v>0</v>
      </c>
      <c r="Q148" s="32" t="str">
        <f t="shared" si="28"/>
        <v>0,0%</v>
      </c>
      <c r="R148" s="55">
        <v>0</v>
      </c>
      <c r="S148" s="55">
        <v>0</v>
      </c>
      <c r="T148" s="32" t="str">
        <f t="shared" si="29"/>
        <v>0,0%</v>
      </c>
    </row>
    <row r="149" spans="1:20" ht="33" hidden="1">
      <c r="A149" s="51">
        <v>500</v>
      </c>
      <c r="B149" s="115" t="s">
        <v>221</v>
      </c>
      <c r="C149" s="55">
        <v>0</v>
      </c>
      <c r="D149" s="55">
        <v>15</v>
      </c>
      <c r="E149" s="55">
        <v>15</v>
      </c>
      <c r="F149" s="55">
        <v>0</v>
      </c>
      <c r="G149" s="55">
        <v>15</v>
      </c>
      <c r="H149" s="55">
        <f t="shared" si="22"/>
        <v>0</v>
      </c>
      <c r="I149" s="107" t="e">
        <f>G149/G151</f>
        <v>#DIV/0!</v>
      </c>
      <c r="J149" s="55">
        <v>0</v>
      </c>
      <c r="K149" s="32" t="e">
        <f>IF(#REF!=0,"0,0%",J149/#REF!)</f>
        <v>#REF!</v>
      </c>
      <c r="L149" s="21">
        <f t="shared" si="30"/>
        <v>0</v>
      </c>
      <c r="M149" s="22">
        <f t="shared" si="31"/>
        <v>1</v>
      </c>
      <c r="N149" s="17">
        <f t="shared" si="32"/>
        <v>15</v>
      </c>
      <c r="O149" s="55">
        <v>0</v>
      </c>
      <c r="P149" s="55">
        <v>0</v>
      </c>
      <c r="Q149" s="32" t="str">
        <f t="shared" si="28"/>
        <v>0,0%</v>
      </c>
      <c r="R149" s="55">
        <v>0</v>
      </c>
      <c r="S149" s="55">
        <v>0</v>
      </c>
      <c r="T149" s="32" t="str">
        <f t="shared" si="29"/>
        <v>0,0%</v>
      </c>
    </row>
    <row r="150" spans="1:20" s="61" customFormat="1" ht="82.5" hidden="1">
      <c r="A150" s="144">
        <v>7954200</v>
      </c>
      <c r="B150" s="145" t="s">
        <v>222</v>
      </c>
      <c r="C150" s="48">
        <v>2774.1</v>
      </c>
      <c r="D150" s="48">
        <v>0</v>
      </c>
      <c r="E150" s="48">
        <v>0</v>
      </c>
      <c r="F150" s="48">
        <v>0</v>
      </c>
      <c r="G150" s="48">
        <v>0</v>
      </c>
      <c r="H150" s="48">
        <f t="shared" si="22"/>
        <v>0</v>
      </c>
      <c r="I150" s="107" t="e">
        <f>G150/G152</f>
        <v>#DIV/0!</v>
      </c>
      <c r="J150" s="48">
        <v>0</v>
      </c>
      <c r="K150" s="20" t="e">
        <f>IF(#REF!=0,"0,0%",J150/#REF!)</f>
        <v>#REF!</v>
      </c>
      <c r="L150" s="21">
        <f t="shared" si="30"/>
        <v>0</v>
      </c>
      <c r="M150" s="22" t="e">
        <f t="shared" si="31"/>
        <v>#DIV/0!</v>
      </c>
      <c r="N150" s="17">
        <f t="shared" si="32"/>
        <v>0</v>
      </c>
      <c r="O150" s="48">
        <v>0</v>
      </c>
      <c r="P150" s="48">
        <v>0</v>
      </c>
      <c r="Q150" s="20" t="str">
        <f t="shared" si="28"/>
        <v>0,0%</v>
      </c>
      <c r="R150" s="48">
        <v>0</v>
      </c>
      <c r="S150" s="48">
        <v>0</v>
      </c>
      <c r="T150" s="20" t="str">
        <f t="shared" si="29"/>
        <v>0,0%</v>
      </c>
    </row>
    <row r="151" spans="1:20" ht="16.5" hidden="1">
      <c r="A151" s="51"/>
      <c r="B151" s="52" t="s">
        <v>223</v>
      </c>
      <c r="C151" s="55">
        <v>2774.1</v>
      </c>
      <c r="D151" s="55">
        <v>0</v>
      </c>
      <c r="E151" s="55">
        <v>0</v>
      </c>
      <c r="F151" s="55">
        <v>0</v>
      </c>
      <c r="G151" s="55">
        <v>0</v>
      </c>
      <c r="H151" s="55">
        <f t="shared" si="22"/>
        <v>0</v>
      </c>
      <c r="I151" s="107">
        <f>G151/G153</f>
        <v>0</v>
      </c>
      <c r="J151" s="55">
        <v>0</v>
      </c>
      <c r="K151" s="32" t="e">
        <f>IF(#REF!=0,"0,0%",J151/#REF!)</f>
        <v>#REF!</v>
      </c>
      <c r="L151" s="21">
        <f t="shared" si="30"/>
        <v>0</v>
      </c>
      <c r="M151" s="22" t="e">
        <f t="shared" si="31"/>
        <v>#DIV/0!</v>
      </c>
      <c r="N151" s="17">
        <f t="shared" si="32"/>
        <v>0</v>
      </c>
      <c r="O151" s="55">
        <v>0</v>
      </c>
      <c r="P151" s="55">
        <v>0</v>
      </c>
      <c r="Q151" s="32" t="str">
        <f t="shared" si="28"/>
        <v>0,0%</v>
      </c>
      <c r="R151" s="55">
        <v>0</v>
      </c>
      <c r="S151" s="55">
        <v>0</v>
      </c>
      <c r="T151" s="32" t="str">
        <f t="shared" si="29"/>
        <v>0,0%</v>
      </c>
    </row>
    <row r="152" spans="1:20" ht="16.5" hidden="1">
      <c r="A152" s="51"/>
      <c r="B152" s="138" t="s">
        <v>207</v>
      </c>
      <c r="C152" s="55"/>
      <c r="D152" s="55"/>
      <c r="E152" s="55"/>
      <c r="F152" s="55"/>
      <c r="G152" s="55"/>
      <c r="H152" s="55"/>
      <c r="I152" s="107" t="e">
        <f>G152/G154</f>
        <v>#DIV/0!</v>
      </c>
      <c r="J152" s="55"/>
      <c r="K152" s="32"/>
      <c r="L152" s="21">
        <f t="shared" si="30"/>
        <v>0</v>
      </c>
      <c r="M152" s="22" t="e">
        <f t="shared" si="31"/>
        <v>#DIV/0!</v>
      </c>
      <c r="N152" s="17">
        <f t="shared" si="32"/>
        <v>0</v>
      </c>
      <c r="O152" s="55"/>
      <c r="P152" s="55"/>
      <c r="Q152" s="32"/>
      <c r="R152" s="55"/>
      <c r="S152" s="55"/>
      <c r="T152" s="32"/>
    </row>
    <row r="153" spans="1:20" s="61" customFormat="1" ht="82.5">
      <c r="A153" s="144">
        <v>7954300</v>
      </c>
      <c r="B153" s="145" t="s">
        <v>224</v>
      </c>
      <c r="C153" s="48">
        <v>8002.2</v>
      </c>
      <c r="D153" s="48">
        <v>0</v>
      </c>
      <c r="E153" s="48">
        <v>11034.9</v>
      </c>
      <c r="F153" s="48">
        <v>0</v>
      </c>
      <c r="G153" s="48">
        <v>11034.9</v>
      </c>
      <c r="H153" s="48">
        <f t="shared" si="22"/>
        <v>0</v>
      </c>
      <c r="I153" s="107">
        <f>G153/G297</f>
        <v>1.7889984112058624E-2</v>
      </c>
      <c r="J153" s="48">
        <v>0</v>
      </c>
      <c r="K153" s="20" t="e">
        <f>IF(#REF!=0,"0,0%",J153/#REF!)</f>
        <v>#REF!</v>
      </c>
      <c r="L153" s="21">
        <f t="shared" si="30"/>
        <v>0</v>
      </c>
      <c r="M153" s="22">
        <f t="shared" si="31"/>
        <v>1</v>
      </c>
      <c r="N153" s="17">
        <f t="shared" si="32"/>
        <v>11034.9</v>
      </c>
      <c r="O153" s="48">
        <v>0</v>
      </c>
      <c r="P153" s="48">
        <v>0</v>
      </c>
      <c r="Q153" s="20" t="str">
        <f t="shared" si="28"/>
        <v>0,0%</v>
      </c>
      <c r="R153" s="48">
        <v>0</v>
      </c>
      <c r="S153" s="48">
        <v>0</v>
      </c>
      <c r="T153" s="20" t="str">
        <f t="shared" si="29"/>
        <v>0,0%</v>
      </c>
    </row>
    <row r="154" spans="1:20" s="61" customFormat="1" ht="82.5" hidden="1">
      <c r="A154" s="144">
        <v>7954600</v>
      </c>
      <c r="B154" s="145" t="s">
        <v>225</v>
      </c>
      <c r="C154" s="48">
        <v>78.900000000000006</v>
      </c>
      <c r="D154" s="48">
        <v>0</v>
      </c>
      <c r="E154" s="48">
        <v>0</v>
      </c>
      <c r="F154" s="48">
        <v>0</v>
      </c>
      <c r="G154" s="48">
        <v>0</v>
      </c>
      <c r="H154" s="48">
        <f t="shared" si="22"/>
        <v>0</v>
      </c>
      <c r="I154" s="107" t="e">
        <f t="shared" ref="I154:I159" si="33">G154/G156</f>
        <v>#DIV/0!</v>
      </c>
      <c r="J154" s="48">
        <v>0</v>
      </c>
      <c r="K154" s="20" t="e">
        <f>IF(#REF!=0,"0,0%",J154/#REF!)</f>
        <v>#REF!</v>
      </c>
      <c r="L154" s="21">
        <f t="shared" si="30"/>
        <v>0</v>
      </c>
      <c r="M154" s="22" t="e">
        <f t="shared" si="31"/>
        <v>#DIV/0!</v>
      </c>
      <c r="N154" s="17">
        <f t="shared" si="32"/>
        <v>0</v>
      </c>
      <c r="O154" s="48">
        <v>0</v>
      </c>
      <c r="P154" s="48">
        <v>0</v>
      </c>
      <c r="Q154" s="20" t="str">
        <f t="shared" si="28"/>
        <v>0,0%</v>
      </c>
      <c r="R154" s="48">
        <v>0</v>
      </c>
      <c r="S154" s="48">
        <v>0</v>
      </c>
      <c r="T154" s="20" t="str">
        <f t="shared" si="29"/>
        <v>0,0%</v>
      </c>
    </row>
    <row r="155" spans="1:20" ht="16.5" hidden="1">
      <c r="A155" s="144">
        <v>5210611</v>
      </c>
      <c r="B155" s="145" t="s">
        <v>226</v>
      </c>
      <c r="C155" s="48">
        <v>0</v>
      </c>
      <c r="D155" s="48">
        <v>0</v>
      </c>
      <c r="E155" s="48">
        <v>0</v>
      </c>
      <c r="F155" s="48">
        <v>0</v>
      </c>
      <c r="G155" s="48">
        <v>0</v>
      </c>
      <c r="H155" s="48">
        <f t="shared" si="22"/>
        <v>0</v>
      </c>
      <c r="I155" s="107" t="e">
        <f t="shared" si="33"/>
        <v>#DIV/0!</v>
      </c>
      <c r="J155" s="48">
        <v>0</v>
      </c>
      <c r="K155" s="130" t="e">
        <f>IF(#REF!=0,"0,0%",J155/#REF!)</f>
        <v>#REF!</v>
      </c>
      <c r="L155" s="21">
        <f t="shared" si="30"/>
        <v>0</v>
      </c>
      <c r="M155" s="22" t="e">
        <f t="shared" si="31"/>
        <v>#DIV/0!</v>
      </c>
      <c r="N155" s="17">
        <f t="shared" si="32"/>
        <v>0</v>
      </c>
      <c r="O155" s="55"/>
      <c r="P155" s="55"/>
      <c r="Q155" s="130"/>
      <c r="R155" s="55"/>
      <c r="S155" s="55"/>
      <c r="T155" s="130"/>
    </row>
    <row r="156" spans="1:20" ht="16.5" hidden="1">
      <c r="A156" s="144">
        <v>5210624</v>
      </c>
      <c r="B156" s="145" t="s">
        <v>227</v>
      </c>
      <c r="C156" s="48">
        <v>0</v>
      </c>
      <c r="D156" s="48">
        <v>0</v>
      </c>
      <c r="E156" s="48">
        <v>0</v>
      </c>
      <c r="F156" s="48">
        <v>0</v>
      </c>
      <c r="G156" s="48">
        <v>0</v>
      </c>
      <c r="H156" s="48">
        <f t="shared" si="22"/>
        <v>0</v>
      </c>
      <c r="I156" s="107" t="e">
        <f t="shared" si="33"/>
        <v>#DIV/0!</v>
      </c>
      <c r="J156" s="48">
        <v>0</v>
      </c>
      <c r="K156" s="130" t="e">
        <f>IF(#REF!=0,"0,0%",J156/#REF!)</f>
        <v>#REF!</v>
      </c>
      <c r="L156" s="21">
        <f t="shared" si="30"/>
        <v>0</v>
      </c>
      <c r="M156" s="22" t="e">
        <f t="shared" si="31"/>
        <v>#DIV/0!</v>
      </c>
      <c r="N156" s="17">
        <f t="shared" si="32"/>
        <v>0</v>
      </c>
      <c r="O156" s="55"/>
      <c r="P156" s="55"/>
      <c r="Q156" s="130"/>
      <c r="R156" s="55"/>
      <c r="S156" s="55"/>
      <c r="T156" s="130"/>
    </row>
    <row r="157" spans="1:20" ht="16.5" hidden="1">
      <c r="A157" s="144">
        <v>5210612</v>
      </c>
      <c r="B157" s="145" t="s">
        <v>228</v>
      </c>
      <c r="C157" s="48">
        <v>0</v>
      </c>
      <c r="D157" s="48">
        <v>0</v>
      </c>
      <c r="E157" s="48">
        <v>0</v>
      </c>
      <c r="F157" s="48">
        <v>0</v>
      </c>
      <c r="G157" s="48">
        <v>0</v>
      </c>
      <c r="H157" s="48">
        <f t="shared" si="22"/>
        <v>0</v>
      </c>
      <c r="I157" s="107" t="e">
        <f t="shared" si="33"/>
        <v>#DIV/0!</v>
      </c>
      <c r="J157" s="48">
        <v>0</v>
      </c>
      <c r="K157" s="130" t="e">
        <f>IF(#REF!=0,"0,0%",J157/#REF!)</f>
        <v>#REF!</v>
      </c>
      <c r="L157" s="21">
        <f t="shared" si="30"/>
        <v>0</v>
      </c>
      <c r="M157" s="22" t="e">
        <f t="shared" si="31"/>
        <v>#DIV/0!</v>
      </c>
      <c r="N157" s="17">
        <f t="shared" si="32"/>
        <v>0</v>
      </c>
      <c r="O157" s="55"/>
      <c r="P157" s="55"/>
      <c r="Q157" s="130"/>
      <c r="R157" s="55"/>
      <c r="S157" s="55"/>
      <c r="T157" s="130"/>
    </row>
    <row r="158" spans="1:20" ht="16.5" hidden="1">
      <c r="A158" s="144">
        <v>5210613</v>
      </c>
      <c r="B158" s="145" t="s">
        <v>229</v>
      </c>
      <c r="C158" s="48">
        <v>0</v>
      </c>
      <c r="D158" s="48">
        <v>0</v>
      </c>
      <c r="E158" s="48">
        <v>0</v>
      </c>
      <c r="F158" s="48">
        <v>0</v>
      </c>
      <c r="G158" s="48">
        <v>0</v>
      </c>
      <c r="H158" s="48">
        <f t="shared" si="22"/>
        <v>0</v>
      </c>
      <c r="I158" s="107" t="e">
        <f t="shared" si="33"/>
        <v>#DIV/0!</v>
      </c>
      <c r="J158" s="48">
        <v>0</v>
      </c>
      <c r="K158" s="130" t="e">
        <f>IF(#REF!=0,"0,0%",J158/#REF!)</f>
        <v>#REF!</v>
      </c>
      <c r="L158" s="21">
        <f t="shared" si="30"/>
        <v>0</v>
      </c>
      <c r="M158" s="22" t="e">
        <f t="shared" si="31"/>
        <v>#DIV/0!</v>
      </c>
      <c r="N158" s="17">
        <f t="shared" si="32"/>
        <v>0</v>
      </c>
      <c r="O158" s="55"/>
      <c r="P158" s="55"/>
      <c r="Q158" s="130"/>
      <c r="R158" s="55"/>
      <c r="S158" s="55"/>
      <c r="T158" s="130"/>
    </row>
    <row r="159" spans="1:20" ht="16.5" hidden="1">
      <c r="A159" s="144"/>
      <c r="B159" s="138" t="s">
        <v>207</v>
      </c>
      <c r="C159" s="48"/>
      <c r="D159" s="48"/>
      <c r="E159" s="48"/>
      <c r="F159" s="48"/>
      <c r="G159" s="48"/>
      <c r="H159" s="48"/>
      <c r="I159" s="107" t="e">
        <f t="shared" si="33"/>
        <v>#DIV/0!</v>
      </c>
      <c r="J159" s="48"/>
      <c r="K159" s="130"/>
      <c r="L159" s="21">
        <f t="shared" si="30"/>
        <v>0</v>
      </c>
      <c r="M159" s="22" t="e">
        <f t="shared" si="31"/>
        <v>#DIV/0!</v>
      </c>
      <c r="N159" s="17">
        <f t="shared" si="32"/>
        <v>0</v>
      </c>
      <c r="O159" s="55"/>
      <c r="P159" s="55"/>
      <c r="Q159" s="130"/>
      <c r="R159" s="55"/>
      <c r="S159" s="55"/>
      <c r="T159" s="130"/>
    </row>
    <row r="160" spans="1:20" ht="33" hidden="1">
      <c r="A160" s="144">
        <v>5210625</v>
      </c>
      <c r="B160" s="145" t="s">
        <v>230</v>
      </c>
      <c r="C160" s="48">
        <v>0</v>
      </c>
      <c r="D160" s="48">
        <v>0</v>
      </c>
      <c r="E160" s="48">
        <v>0</v>
      </c>
      <c r="F160" s="48">
        <v>0</v>
      </c>
      <c r="G160" s="48"/>
      <c r="H160" s="48">
        <f t="shared" si="22"/>
        <v>0</v>
      </c>
      <c r="I160" s="107">
        <f>G160/G297</f>
        <v>0</v>
      </c>
      <c r="J160" s="48">
        <v>0</v>
      </c>
      <c r="K160" s="130" t="e">
        <f>IF(#REF!=0,"0,0%",J160/#REF!)</f>
        <v>#REF!</v>
      </c>
      <c r="L160" s="21">
        <f t="shared" si="30"/>
        <v>0</v>
      </c>
      <c r="M160" s="22" t="e">
        <f t="shared" si="31"/>
        <v>#DIV/0!</v>
      </c>
      <c r="N160" s="17">
        <f t="shared" si="32"/>
        <v>0</v>
      </c>
      <c r="O160" s="55"/>
      <c r="P160" s="55"/>
      <c r="Q160" s="130"/>
      <c r="R160" s="55"/>
      <c r="S160" s="55"/>
      <c r="T160" s="130"/>
    </row>
    <row r="161" spans="1:20" ht="16.5" hidden="1">
      <c r="A161" s="144">
        <v>5210626</v>
      </c>
      <c r="B161" s="145" t="s">
        <v>228</v>
      </c>
      <c r="C161" s="48">
        <v>0</v>
      </c>
      <c r="D161" s="48">
        <v>0</v>
      </c>
      <c r="E161" s="48">
        <v>0</v>
      </c>
      <c r="F161" s="48">
        <v>0</v>
      </c>
      <c r="G161" s="48">
        <v>0</v>
      </c>
      <c r="H161" s="48">
        <f t="shared" si="22"/>
        <v>0</v>
      </c>
      <c r="I161" s="107" t="e">
        <f>G161/G163</f>
        <v>#DIV/0!</v>
      </c>
      <c r="J161" s="48">
        <v>0</v>
      </c>
      <c r="K161" s="130" t="e">
        <f>IF(#REF!=0,"0,0%",J161/#REF!)</f>
        <v>#REF!</v>
      </c>
      <c r="L161" s="21">
        <f t="shared" si="30"/>
        <v>0</v>
      </c>
      <c r="M161" s="22" t="e">
        <f t="shared" si="31"/>
        <v>#DIV/0!</v>
      </c>
      <c r="N161" s="17">
        <f t="shared" si="32"/>
        <v>0</v>
      </c>
      <c r="O161" s="55"/>
      <c r="P161" s="55"/>
      <c r="Q161" s="130"/>
      <c r="R161" s="55"/>
      <c r="S161" s="55"/>
      <c r="T161" s="130"/>
    </row>
    <row r="162" spans="1:20" ht="66" hidden="1">
      <c r="A162" s="144">
        <v>4100000</v>
      </c>
      <c r="B162" s="145" t="s">
        <v>231</v>
      </c>
      <c r="C162" s="48">
        <v>0</v>
      </c>
      <c r="D162" s="48">
        <v>0</v>
      </c>
      <c r="E162" s="48">
        <v>0</v>
      </c>
      <c r="F162" s="48">
        <v>0</v>
      </c>
      <c r="G162" s="48">
        <v>0</v>
      </c>
      <c r="H162" s="48">
        <f t="shared" si="22"/>
        <v>0</v>
      </c>
      <c r="I162" s="107" t="e">
        <f>G162/G164</f>
        <v>#DIV/0!</v>
      </c>
      <c r="J162" s="48">
        <v>0</v>
      </c>
      <c r="K162" s="130" t="e">
        <f>IF(#REF!=0,"0,0%",J162/#REF!)</f>
        <v>#REF!</v>
      </c>
      <c r="L162" s="21">
        <f t="shared" si="30"/>
        <v>0</v>
      </c>
      <c r="M162" s="22" t="e">
        <f t="shared" si="31"/>
        <v>#DIV/0!</v>
      </c>
      <c r="N162" s="17">
        <f t="shared" si="32"/>
        <v>0</v>
      </c>
      <c r="O162" s="55"/>
      <c r="P162" s="55"/>
      <c r="Q162" s="130"/>
      <c r="R162" s="55"/>
      <c r="S162" s="55"/>
      <c r="T162" s="130"/>
    </row>
    <row r="163" spans="1:20" ht="16.5" hidden="1">
      <c r="A163" s="51"/>
      <c r="B163" s="52" t="s">
        <v>211</v>
      </c>
      <c r="C163" s="55">
        <v>0</v>
      </c>
      <c r="D163" s="55">
        <v>0</v>
      </c>
      <c r="E163" s="55">
        <v>0</v>
      </c>
      <c r="F163" s="55">
        <v>0</v>
      </c>
      <c r="G163" s="55">
        <v>0</v>
      </c>
      <c r="H163" s="48">
        <f t="shared" si="22"/>
        <v>0</v>
      </c>
      <c r="I163" s="107">
        <f>G163/G165</f>
        <v>0</v>
      </c>
      <c r="J163" s="55">
        <v>0</v>
      </c>
      <c r="K163" s="130" t="e">
        <f>IF(#REF!=0,"0,0%",J163/#REF!)</f>
        <v>#REF!</v>
      </c>
      <c r="L163" s="21">
        <f t="shared" si="30"/>
        <v>0</v>
      </c>
      <c r="M163" s="22" t="e">
        <f t="shared" si="31"/>
        <v>#DIV/0!</v>
      </c>
      <c r="N163" s="17">
        <f t="shared" si="32"/>
        <v>0</v>
      </c>
      <c r="O163" s="55"/>
      <c r="P163" s="55"/>
      <c r="Q163" s="130"/>
      <c r="R163" s="55"/>
      <c r="S163" s="55"/>
      <c r="T163" s="130"/>
    </row>
    <row r="164" spans="1:20" ht="115.5" hidden="1">
      <c r="A164" s="144">
        <v>4200460</v>
      </c>
      <c r="B164" s="145" t="s">
        <v>232</v>
      </c>
      <c r="C164" s="48">
        <v>0</v>
      </c>
      <c r="D164" s="48">
        <v>0</v>
      </c>
      <c r="E164" s="48">
        <v>0</v>
      </c>
      <c r="F164" s="48">
        <v>0</v>
      </c>
      <c r="G164" s="48">
        <v>0</v>
      </c>
      <c r="H164" s="48">
        <f t="shared" si="22"/>
        <v>0</v>
      </c>
      <c r="I164" s="107" t="e">
        <f>G164/G166</f>
        <v>#DIV/0!</v>
      </c>
      <c r="J164" s="48">
        <v>0</v>
      </c>
      <c r="K164" s="130" t="e">
        <f>IF(#REF!=0,"0,0%",J164/#REF!)</f>
        <v>#REF!</v>
      </c>
      <c r="L164" s="21">
        <f t="shared" si="30"/>
        <v>0</v>
      </c>
      <c r="M164" s="22" t="e">
        <f t="shared" si="31"/>
        <v>#DIV/0!</v>
      </c>
      <c r="N164" s="17">
        <f t="shared" si="32"/>
        <v>0</v>
      </c>
      <c r="O164" s="55"/>
      <c r="P164" s="55"/>
      <c r="Q164" s="130"/>
      <c r="R164" s="55"/>
      <c r="S164" s="55"/>
      <c r="T164" s="130"/>
    </row>
    <row r="165" spans="1:20" s="61" customFormat="1" ht="33">
      <c r="A165" s="112" t="s">
        <v>233</v>
      </c>
      <c r="B165" s="116" t="s">
        <v>234</v>
      </c>
      <c r="C165" s="60">
        <f>C167+C168+C169</f>
        <v>2315.6</v>
      </c>
      <c r="D165" s="60">
        <f>D167+D168+D169</f>
        <v>2489.4</v>
      </c>
      <c r="E165" s="60">
        <f>E167+E168+E169</f>
        <v>2581.6000000000004</v>
      </c>
      <c r="F165" s="60">
        <f>F167+F168+F169</f>
        <v>2025</v>
      </c>
      <c r="G165" s="60">
        <f>G167+G168+G169</f>
        <v>2443</v>
      </c>
      <c r="H165" s="60">
        <f t="shared" si="22"/>
        <v>138.60000000000036</v>
      </c>
      <c r="I165" s="107">
        <f>G165/G297</f>
        <v>3.9606368146298757E-3</v>
      </c>
      <c r="J165" s="60">
        <f>J167+J168+J169+J166</f>
        <v>3243.5</v>
      </c>
      <c r="K165" s="20" t="e">
        <f>IF(#REF!=0,"0,0%",J165/#REF!)</f>
        <v>#REF!</v>
      </c>
      <c r="L165" s="21">
        <f t="shared" si="30"/>
        <v>-138.60000000000036</v>
      </c>
      <c r="M165" s="22">
        <f t="shared" si="31"/>
        <v>0.94631236442516253</v>
      </c>
      <c r="N165" s="17">
        <f t="shared" si="32"/>
        <v>418</v>
      </c>
      <c r="O165" s="60">
        <f>O167</f>
        <v>0</v>
      </c>
      <c r="P165" s="60">
        <f>P167</f>
        <v>0</v>
      </c>
      <c r="Q165" s="20" t="str">
        <f t="shared" si="28"/>
        <v>0,0%</v>
      </c>
      <c r="R165" s="60">
        <f>R167</f>
        <v>0</v>
      </c>
      <c r="S165" s="60">
        <f>S167</f>
        <v>0</v>
      </c>
      <c r="T165" s="20" t="str">
        <f t="shared" si="29"/>
        <v>0,0%</v>
      </c>
    </row>
    <row r="166" spans="1:20" ht="49.5" hidden="1">
      <c r="A166" s="114"/>
      <c r="B166" s="40" t="s">
        <v>235</v>
      </c>
      <c r="C166" s="30">
        <v>0</v>
      </c>
      <c r="D166" s="30">
        <v>0</v>
      </c>
      <c r="E166" s="30">
        <v>0</v>
      </c>
      <c r="F166" s="30">
        <v>0</v>
      </c>
      <c r="G166" s="30">
        <v>0</v>
      </c>
      <c r="H166" s="30">
        <v>0</v>
      </c>
      <c r="I166" s="107">
        <f>G166/G297</f>
        <v>0</v>
      </c>
      <c r="J166" s="30">
        <v>950</v>
      </c>
      <c r="K166" s="32" t="e">
        <f>IF(#REF!=0,"0,0%",J166/#REF!)</f>
        <v>#REF!</v>
      </c>
      <c r="L166" s="21">
        <f t="shared" si="30"/>
        <v>0</v>
      </c>
      <c r="M166" s="22" t="e">
        <f t="shared" si="31"/>
        <v>#DIV/0!</v>
      </c>
      <c r="N166" s="17">
        <f t="shared" si="32"/>
        <v>0</v>
      </c>
      <c r="O166" s="30"/>
      <c r="P166" s="30"/>
      <c r="Q166" s="32"/>
      <c r="R166" s="30"/>
      <c r="S166" s="30"/>
      <c r="T166" s="32"/>
    </row>
    <row r="167" spans="1:20" ht="16.5" hidden="1">
      <c r="A167" s="114" t="s">
        <v>236</v>
      </c>
      <c r="B167" s="40" t="s">
        <v>237</v>
      </c>
      <c r="C167" s="30">
        <f>2025+290.6</f>
        <v>2315.6</v>
      </c>
      <c r="D167" s="30">
        <f>1639.4</f>
        <v>1639.4</v>
      </c>
      <c r="E167" s="30">
        <f>1639.4+92.2</f>
        <v>1731.6000000000001</v>
      </c>
      <c r="F167" s="30">
        <v>2025</v>
      </c>
      <c r="G167" s="30">
        <v>1593</v>
      </c>
      <c r="H167" s="30">
        <f t="shared" si="22"/>
        <v>138.60000000000014</v>
      </c>
      <c r="I167" s="107">
        <f>G167/G297</f>
        <v>2.5826010829739631E-3</v>
      </c>
      <c r="J167" s="30">
        <v>2293.5</v>
      </c>
      <c r="K167" s="32" t="e">
        <f>IF(#REF!=0,"0,0%",J167/#REF!)</f>
        <v>#REF!</v>
      </c>
      <c r="L167" s="21">
        <f t="shared" si="30"/>
        <v>-138.60000000000014</v>
      </c>
      <c r="M167" s="22">
        <f t="shared" si="31"/>
        <v>0.91995841995841987</v>
      </c>
      <c r="N167" s="17">
        <f t="shared" si="32"/>
        <v>-432</v>
      </c>
      <c r="O167" s="30">
        <v>0</v>
      </c>
      <c r="P167" s="55">
        <v>0</v>
      </c>
      <c r="Q167" s="32" t="str">
        <f t="shared" si="28"/>
        <v>0,0%</v>
      </c>
      <c r="R167" s="30">
        <v>0</v>
      </c>
      <c r="S167" s="55">
        <v>0</v>
      </c>
      <c r="T167" s="32" t="str">
        <f t="shared" si="29"/>
        <v>0,0%</v>
      </c>
    </row>
    <row r="168" spans="1:20" ht="33" hidden="1">
      <c r="A168" s="114">
        <v>5210635</v>
      </c>
      <c r="B168" s="40" t="s">
        <v>238</v>
      </c>
      <c r="C168" s="30">
        <v>0</v>
      </c>
      <c r="D168" s="30">
        <v>850</v>
      </c>
      <c r="E168" s="30">
        <v>850</v>
      </c>
      <c r="F168" s="30"/>
      <c r="G168" s="30">
        <v>850</v>
      </c>
      <c r="H168" s="30">
        <f t="shared" si="22"/>
        <v>0</v>
      </c>
      <c r="I168" s="107">
        <f>G168/G297</f>
        <v>1.3780357316559126E-3</v>
      </c>
      <c r="J168" s="30">
        <v>0</v>
      </c>
      <c r="K168" s="32" t="e">
        <f>IF(#REF!=0,"0,0%",J168/#REF!)</f>
        <v>#REF!</v>
      </c>
      <c r="L168" s="21">
        <f t="shared" si="30"/>
        <v>0</v>
      </c>
      <c r="M168" s="22">
        <f t="shared" si="31"/>
        <v>1</v>
      </c>
      <c r="N168" s="17">
        <f t="shared" si="32"/>
        <v>850</v>
      </c>
      <c r="O168" s="30"/>
      <c r="P168" s="55"/>
      <c r="Q168" s="32"/>
      <c r="R168" s="30"/>
      <c r="S168" s="55"/>
      <c r="T168" s="32"/>
    </row>
    <row r="169" spans="1:20" ht="49.5" hidden="1">
      <c r="A169" s="114" t="s">
        <v>239</v>
      </c>
      <c r="B169" s="40" t="s">
        <v>240</v>
      </c>
      <c r="C169" s="30">
        <v>0</v>
      </c>
      <c r="D169" s="30">
        <v>0</v>
      </c>
      <c r="E169" s="30">
        <v>0</v>
      </c>
      <c r="F169" s="30">
        <v>0</v>
      </c>
      <c r="G169" s="30">
        <v>0</v>
      </c>
      <c r="H169" s="30">
        <f t="shared" si="22"/>
        <v>0</v>
      </c>
      <c r="I169" s="107">
        <f>G169/G171</f>
        <v>0</v>
      </c>
      <c r="J169" s="30">
        <v>0</v>
      </c>
      <c r="K169" s="32" t="e">
        <f>IF(#REF!=0,"0,0%",J169/#REF!)</f>
        <v>#REF!</v>
      </c>
      <c r="L169" s="21">
        <f t="shared" si="30"/>
        <v>0</v>
      </c>
      <c r="M169" s="22" t="e">
        <f t="shared" si="31"/>
        <v>#DIV/0!</v>
      </c>
      <c r="N169" s="17">
        <f t="shared" si="32"/>
        <v>0</v>
      </c>
      <c r="O169" s="30"/>
      <c r="P169" s="55"/>
      <c r="Q169" s="32"/>
      <c r="R169" s="30"/>
      <c r="S169" s="55"/>
      <c r="T169" s="32"/>
    </row>
    <row r="170" spans="1:20" ht="16.5">
      <c r="A170" s="149" t="s">
        <v>241</v>
      </c>
      <c r="B170" s="57" t="s">
        <v>242</v>
      </c>
      <c r="C170" s="21">
        <f>C171+C201+C228</f>
        <v>167569.40000000002</v>
      </c>
      <c r="D170" s="21">
        <f>D171+D201+D228</f>
        <v>114362.8</v>
      </c>
      <c r="E170" s="21">
        <f>E171+E201+E228+E199</f>
        <v>130220.2</v>
      </c>
      <c r="F170" s="21">
        <f>F171+F201+F228+F199</f>
        <v>154572.90000000002</v>
      </c>
      <c r="G170" s="21">
        <f>G171+G201+G228+G199</f>
        <v>129139.59999999999</v>
      </c>
      <c r="H170" s="48">
        <f t="shared" si="22"/>
        <v>1080.6000000000058</v>
      </c>
      <c r="I170" s="107">
        <f>G170/G297</f>
        <v>0.20936350961382574</v>
      </c>
      <c r="J170" s="48">
        <f>J171+J201+J228</f>
        <v>215753.69999999998</v>
      </c>
      <c r="K170" s="35" t="e">
        <f>IF(#REF!=0,"0,0%",J170/#REF!)</f>
        <v>#REF!</v>
      </c>
      <c r="L170" s="21">
        <f t="shared" si="30"/>
        <v>-1080.6000000000058</v>
      </c>
      <c r="M170" s="22">
        <f t="shared" si="31"/>
        <v>0.99170174826946966</v>
      </c>
      <c r="N170" s="17">
        <f t="shared" si="32"/>
        <v>-25433.300000000032</v>
      </c>
      <c r="O170" s="30">
        <f>O171+O201+O228</f>
        <v>333187.7</v>
      </c>
      <c r="P170" s="30">
        <f>P171+P201+P228</f>
        <v>117419.21573333333</v>
      </c>
      <c r="Q170" s="32">
        <f t="shared" si="28"/>
        <v>0.35241161583495828</v>
      </c>
      <c r="R170" s="30">
        <f>R171+R201+R228</f>
        <v>347317</v>
      </c>
      <c r="S170" s="30">
        <f>S171+S201+S228</f>
        <v>136796.11151999998</v>
      </c>
      <c r="T170" s="32">
        <f t="shared" si="29"/>
        <v>0.39386529170757545</v>
      </c>
    </row>
    <row r="171" spans="1:20" ht="16.5">
      <c r="A171" s="133" t="s">
        <v>243</v>
      </c>
      <c r="B171" s="145" t="s">
        <v>244</v>
      </c>
      <c r="C171" s="48">
        <f>C172+C186+C187+C189+C190+C191+C177+C178+C180+C181++C185+C193+C194+C196+C197</f>
        <v>64235.100000000006</v>
      </c>
      <c r="D171" s="48">
        <f>D172+D186+D187+D189+D190+D191+D177+D178+D180+D181++D185+D193+D194+D196+D197</f>
        <v>18410.400000000001</v>
      </c>
      <c r="E171" s="48">
        <f>E172+E186+E187+E189+E190+E191+E177+E178+E180+E181++E185+E193+E194+E196+E197+E182+E183+E195+E192</f>
        <v>14321.3</v>
      </c>
      <c r="F171" s="48">
        <f>F172+F181+F187+F189+F191+F192+F193</f>
        <v>60268.3</v>
      </c>
      <c r="G171" s="48">
        <f>G172+G186+G187+G189+G190+G191+G177+G178+G180+G181++G185+G193+G194+G196+G197+G182+G183+G195+G192</f>
        <v>14309.7</v>
      </c>
      <c r="H171" s="48">
        <f t="shared" si="22"/>
        <v>11.599999999998545</v>
      </c>
      <c r="I171" s="107">
        <f>G171/G297</f>
        <v>2.3199150481501899E-2</v>
      </c>
      <c r="J171" s="48">
        <f>J172+J186+J187+J189+J190+J191+J177+J178+J180+J181++J185+J193+J194+J196+J197+J195+J182</f>
        <v>108620.8</v>
      </c>
      <c r="K171" s="35" t="e">
        <f>IF(#REF!=0,"0,0%",J171/#REF!)</f>
        <v>#REF!</v>
      </c>
      <c r="L171" s="21">
        <f t="shared" si="30"/>
        <v>-11.599999999998545</v>
      </c>
      <c r="M171" s="22">
        <f t="shared" si="31"/>
        <v>0.99919001766599413</v>
      </c>
      <c r="N171" s="17">
        <f t="shared" si="32"/>
        <v>-45958.600000000006</v>
      </c>
      <c r="O171" s="30">
        <f>O172+O186+O187+O189+O190+O191</f>
        <v>214792.6</v>
      </c>
      <c r="P171" s="30">
        <f>P172+P186+P187+P189+P190+P191</f>
        <v>18735</v>
      </c>
      <c r="Q171" s="32">
        <f t="shared" si="28"/>
        <v>8.7223675303525358E-2</v>
      </c>
      <c r="R171" s="30">
        <f>R172+R186+R187+R189+R190+R191</f>
        <v>222865.59999999998</v>
      </c>
      <c r="S171" s="30">
        <f>S172+S186+S187+S189+S190+S191</f>
        <v>29649.200000000001</v>
      </c>
      <c r="T171" s="32">
        <f t="shared" si="29"/>
        <v>0.13303623349678015</v>
      </c>
    </row>
    <row r="172" spans="1:20" ht="33">
      <c r="A172" s="144">
        <v>2310470</v>
      </c>
      <c r="B172" s="145" t="s">
        <v>245</v>
      </c>
      <c r="C172" s="48">
        <f>C173+C174</f>
        <v>3368.9</v>
      </c>
      <c r="D172" s="48">
        <f>D173+D174</f>
        <v>1822.6</v>
      </c>
      <c r="E172" s="48">
        <f>E173+E174</f>
        <v>2293.3000000000002</v>
      </c>
      <c r="F172" s="48">
        <f>F173+F174</f>
        <v>3079</v>
      </c>
      <c r="G172" s="48">
        <f>G173+G174</f>
        <v>2281.8000000000002</v>
      </c>
      <c r="H172" s="48">
        <f t="shared" si="22"/>
        <v>11.5</v>
      </c>
      <c r="I172" s="107">
        <f>G172/G297</f>
        <v>3.6992963911676017E-3</v>
      </c>
      <c r="J172" s="48">
        <f>J173+J174+J176</f>
        <v>1950.5</v>
      </c>
      <c r="K172" s="35" t="e">
        <f>IF(#REF!=0,"0,0%",J172/#REF!)</f>
        <v>#REF!</v>
      </c>
      <c r="L172" s="21">
        <f t="shared" si="30"/>
        <v>-11.5</v>
      </c>
      <c r="M172" s="22">
        <f t="shared" si="31"/>
        <v>0.99498539222953819</v>
      </c>
      <c r="N172" s="17">
        <f t="shared" si="32"/>
        <v>-797.19999999999982</v>
      </c>
      <c r="O172" s="30">
        <f>O173+O174</f>
        <v>197666.30000000002</v>
      </c>
      <c r="P172" s="30">
        <f>P173+P174</f>
        <v>1608.7</v>
      </c>
      <c r="Q172" s="32">
        <f t="shared" si="28"/>
        <v>8.1384636632546876E-3</v>
      </c>
      <c r="R172" s="30">
        <f>R173+R174</f>
        <v>194641.69999999998</v>
      </c>
      <c r="S172" s="30">
        <f>S173+S174</f>
        <v>1425.3</v>
      </c>
      <c r="T172" s="32">
        <f t="shared" si="29"/>
        <v>7.3226857348656534E-3</v>
      </c>
    </row>
    <row r="173" spans="1:20" ht="16.5">
      <c r="A173" s="8" t="s">
        <v>246</v>
      </c>
      <c r="B173" s="40" t="s">
        <v>247</v>
      </c>
      <c r="C173" s="30">
        <v>1938.4</v>
      </c>
      <c r="D173" s="30">
        <f>1822.6</f>
        <v>1822.6</v>
      </c>
      <c r="E173" s="30">
        <f>531+1030.1+40.9+23.8+96.9-0.1</f>
        <v>1722.6000000000001</v>
      </c>
      <c r="F173" s="30">
        <v>1938.4</v>
      </c>
      <c r="G173" s="30">
        <f>519.6+1030.1+40.9+23.8+96.9-0.1</f>
        <v>1711.2</v>
      </c>
      <c r="H173" s="30">
        <f t="shared" si="22"/>
        <v>11.400000000000091</v>
      </c>
      <c r="I173" s="107">
        <f>G173/G297</f>
        <v>2.7742291105995265E-3</v>
      </c>
      <c r="J173" s="30">
        <v>1950.5</v>
      </c>
      <c r="K173" s="32" t="e">
        <f>IF(#REF!=0,"0,0%",J173/#REF!)</f>
        <v>#REF!</v>
      </c>
      <c r="L173" s="21">
        <f t="shared" si="30"/>
        <v>-11.400000000000091</v>
      </c>
      <c r="M173" s="22">
        <f t="shared" si="31"/>
        <v>0.9933820968303726</v>
      </c>
      <c r="N173" s="17">
        <f t="shared" si="32"/>
        <v>-227.20000000000005</v>
      </c>
      <c r="O173" s="30">
        <v>1608.7</v>
      </c>
      <c r="P173" s="30">
        <v>1608.7</v>
      </c>
      <c r="Q173" s="32">
        <f t="shared" si="28"/>
        <v>1</v>
      </c>
      <c r="R173" s="30">
        <v>1425.3</v>
      </c>
      <c r="S173" s="30">
        <v>1425.3</v>
      </c>
      <c r="T173" s="32">
        <f t="shared" si="29"/>
        <v>1</v>
      </c>
    </row>
    <row r="174" spans="1:20" ht="16.5">
      <c r="A174" s="8" t="s">
        <v>248</v>
      </c>
      <c r="B174" s="40" t="s">
        <v>249</v>
      </c>
      <c r="C174" s="30">
        <f>C175</f>
        <v>1430.5</v>
      </c>
      <c r="D174" s="30">
        <f t="shared" ref="D174:J174" si="34">D175</f>
        <v>0</v>
      </c>
      <c r="E174" s="30">
        <f t="shared" si="34"/>
        <v>570.70000000000005</v>
      </c>
      <c r="F174" s="30">
        <f t="shared" si="34"/>
        <v>1140.5999999999999</v>
      </c>
      <c r="G174" s="30">
        <f t="shared" si="34"/>
        <v>570.6</v>
      </c>
      <c r="H174" s="30">
        <f t="shared" si="22"/>
        <v>0.10000000000002274</v>
      </c>
      <c r="I174" s="107">
        <f>G174/G297</f>
        <v>9.2506728056807497E-4</v>
      </c>
      <c r="J174" s="30">
        <f t="shared" si="34"/>
        <v>0</v>
      </c>
      <c r="K174" s="32" t="e">
        <f>IF(#REF!=0,"0,0%",J174/#REF!)</f>
        <v>#REF!</v>
      </c>
      <c r="L174" s="21">
        <f t="shared" si="30"/>
        <v>-0.10000000000002274</v>
      </c>
      <c r="M174" s="22">
        <f t="shared" si="31"/>
        <v>0.99982477659015245</v>
      </c>
      <c r="N174" s="17">
        <f t="shared" si="32"/>
        <v>-569.99999999999989</v>
      </c>
      <c r="O174" s="30">
        <f>O175</f>
        <v>196057.60000000001</v>
      </c>
      <c r="P174" s="30">
        <f>P175</f>
        <v>0</v>
      </c>
      <c r="Q174" s="32">
        <f t="shared" si="28"/>
        <v>0</v>
      </c>
      <c r="R174" s="30">
        <f>R175</f>
        <v>193216.4</v>
      </c>
      <c r="S174" s="30">
        <f>S175</f>
        <v>0</v>
      </c>
      <c r="T174" s="32">
        <f t="shared" si="29"/>
        <v>0</v>
      </c>
    </row>
    <row r="175" spans="1:20" ht="16.5">
      <c r="A175" s="8"/>
      <c r="B175" s="40" t="s">
        <v>250</v>
      </c>
      <c r="C175" s="30">
        <f>1140.5+290</f>
        <v>1430.5</v>
      </c>
      <c r="D175" s="30">
        <v>0</v>
      </c>
      <c r="E175" s="30">
        <f>242.7+100+228</f>
        <v>570.70000000000005</v>
      </c>
      <c r="F175" s="30">
        <v>1140.5999999999999</v>
      </c>
      <c r="G175" s="30">
        <f>100+242.6+228</f>
        <v>570.6</v>
      </c>
      <c r="H175" s="30">
        <f t="shared" si="22"/>
        <v>0.10000000000002274</v>
      </c>
      <c r="I175" s="107">
        <f>G175/G297</f>
        <v>9.2506728056807497E-4</v>
      </c>
      <c r="J175" s="55">
        <v>0</v>
      </c>
      <c r="K175" s="32" t="e">
        <f>IF(#REF!=0,"0,0%",J175/#REF!)</f>
        <v>#REF!</v>
      </c>
      <c r="L175" s="21">
        <f t="shared" si="30"/>
        <v>-0.10000000000002274</v>
      </c>
      <c r="M175" s="22">
        <f t="shared" si="31"/>
        <v>0.99982477659015245</v>
      </c>
      <c r="N175" s="17">
        <f t="shared" si="32"/>
        <v>-569.99999999999989</v>
      </c>
      <c r="O175" s="30">
        <v>196057.60000000001</v>
      </c>
      <c r="P175" s="55">
        <v>0</v>
      </c>
      <c r="Q175" s="32">
        <f t="shared" si="28"/>
        <v>0</v>
      </c>
      <c r="R175" s="30">
        <v>193216.4</v>
      </c>
      <c r="S175" s="55">
        <v>0</v>
      </c>
      <c r="T175" s="32">
        <f t="shared" si="29"/>
        <v>0</v>
      </c>
    </row>
    <row r="176" spans="1:20" ht="49.5" hidden="1">
      <c r="A176" s="8"/>
      <c r="B176" s="40" t="s">
        <v>251</v>
      </c>
      <c r="C176" s="30">
        <v>0</v>
      </c>
      <c r="D176" s="30">
        <v>0</v>
      </c>
      <c r="E176" s="30">
        <v>0</v>
      </c>
      <c r="F176" s="30">
        <v>0</v>
      </c>
      <c r="G176" s="30">
        <v>0</v>
      </c>
      <c r="H176" s="30">
        <f t="shared" si="22"/>
        <v>0</v>
      </c>
      <c r="I176" s="107" t="e">
        <f>G176/G178</f>
        <v>#DIV/0!</v>
      </c>
      <c r="J176" s="55"/>
      <c r="K176" s="32" t="e">
        <f>IF(#REF!=0,"0,0%",J176/#REF!)</f>
        <v>#REF!</v>
      </c>
      <c r="L176" s="21">
        <f t="shared" si="30"/>
        <v>0</v>
      </c>
      <c r="M176" s="22" t="e">
        <f t="shared" si="31"/>
        <v>#DIV/0!</v>
      </c>
      <c r="N176" s="17">
        <f t="shared" si="32"/>
        <v>0</v>
      </c>
      <c r="O176" s="30"/>
      <c r="P176" s="55"/>
      <c r="Q176" s="32"/>
      <c r="R176" s="30"/>
      <c r="S176" s="55"/>
      <c r="T176" s="32"/>
    </row>
    <row r="177" spans="1:20" ht="16.5" hidden="1">
      <c r="A177" s="51">
        <v>5210615</v>
      </c>
      <c r="B177" s="52" t="s">
        <v>252</v>
      </c>
      <c r="C177" s="55">
        <v>0</v>
      </c>
      <c r="D177" s="55">
        <v>0</v>
      </c>
      <c r="E177" s="55">
        <v>0</v>
      </c>
      <c r="F177" s="55">
        <v>0</v>
      </c>
      <c r="G177" s="55">
        <v>0</v>
      </c>
      <c r="H177" s="30">
        <f t="shared" si="22"/>
        <v>0</v>
      </c>
      <c r="I177" s="107" t="e">
        <f>G177/G179</f>
        <v>#DIV/0!</v>
      </c>
      <c r="J177" s="55">
        <v>0</v>
      </c>
      <c r="K177" s="32" t="e">
        <f>IF(#REF!=0,"0,0%",J177/#REF!)</f>
        <v>#REF!</v>
      </c>
      <c r="L177" s="21">
        <f t="shared" si="30"/>
        <v>0</v>
      </c>
      <c r="M177" s="22" t="e">
        <f t="shared" si="31"/>
        <v>#DIV/0!</v>
      </c>
      <c r="N177" s="17">
        <f t="shared" si="32"/>
        <v>0</v>
      </c>
      <c r="O177" s="30"/>
      <c r="P177" s="55"/>
      <c r="Q177" s="32"/>
      <c r="R177" s="30"/>
      <c r="S177" s="55"/>
      <c r="T177" s="32"/>
    </row>
    <row r="178" spans="1:20" ht="33" hidden="1">
      <c r="A178" s="51">
        <v>5210616</v>
      </c>
      <c r="B178" s="52" t="s">
        <v>253</v>
      </c>
      <c r="C178" s="55">
        <v>0</v>
      </c>
      <c r="D178" s="55">
        <v>0</v>
      </c>
      <c r="E178" s="55">
        <v>0</v>
      </c>
      <c r="F178" s="55">
        <v>0</v>
      </c>
      <c r="G178" s="55">
        <v>0</v>
      </c>
      <c r="H178" s="30">
        <f t="shared" si="22"/>
        <v>0</v>
      </c>
      <c r="I178" s="107" t="e">
        <f>G178/G180</f>
        <v>#DIV/0!</v>
      </c>
      <c r="J178" s="55">
        <v>0</v>
      </c>
      <c r="K178" s="32" t="e">
        <f>IF(#REF!=0,"0,0%",J178/#REF!)</f>
        <v>#REF!</v>
      </c>
      <c r="L178" s="21">
        <f t="shared" si="30"/>
        <v>0</v>
      </c>
      <c r="M178" s="22" t="e">
        <f t="shared" si="31"/>
        <v>#DIV/0!</v>
      </c>
      <c r="N178" s="17">
        <f t="shared" si="32"/>
        <v>0</v>
      </c>
      <c r="O178" s="30"/>
      <c r="P178" s="55"/>
      <c r="Q178" s="32"/>
      <c r="R178" s="30"/>
      <c r="S178" s="55"/>
      <c r="T178" s="32"/>
    </row>
    <row r="179" spans="1:20" ht="16.5" hidden="1">
      <c r="A179" s="51"/>
      <c r="B179" s="138" t="s">
        <v>207</v>
      </c>
      <c r="C179" s="55"/>
      <c r="D179" s="55"/>
      <c r="E179" s="55"/>
      <c r="F179" s="55"/>
      <c r="G179" s="55"/>
      <c r="H179" s="30"/>
      <c r="I179" s="107">
        <f>G179/G181</f>
        <v>0</v>
      </c>
      <c r="J179" s="55"/>
      <c r="K179" s="32"/>
      <c r="L179" s="21">
        <f t="shared" si="30"/>
        <v>0</v>
      </c>
      <c r="M179" s="22" t="e">
        <f t="shared" si="31"/>
        <v>#DIV/0!</v>
      </c>
      <c r="N179" s="17">
        <f t="shared" si="32"/>
        <v>0</v>
      </c>
      <c r="O179" s="30"/>
      <c r="P179" s="55"/>
      <c r="Q179" s="32"/>
      <c r="R179" s="30"/>
      <c r="S179" s="55"/>
      <c r="T179" s="32"/>
    </row>
    <row r="180" spans="1:20" ht="49.5" hidden="1">
      <c r="A180" s="51">
        <v>5210617</v>
      </c>
      <c r="B180" s="150" t="s">
        <v>254</v>
      </c>
      <c r="C180" s="55">
        <v>0</v>
      </c>
      <c r="D180" s="55">
        <v>8993.7999999999993</v>
      </c>
      <c r="E180" s="55">
        <v>0</v>
      </c>
      <c r="F180" s="55">
        <v>0</v>
      </c>
      <c r="G180" s="55">
        <v>0</v>
      </c>
      <c r="H180" s="30">
        <f t="shared" si="22"/>
        <v>0</v>
      </c>
      <c r="I180" s="107">
        <f>G180/G297</f>
        <v>0</v>
      </c>
      <c r="J180" s="55">
        <v>100000</v>
      </c>
      <c r="K180" s="32" t="e">
        <f>IF(#REF!=0,"0,0%",J180/#REF!)</f>
        <v>#REF!</v>
      </c>
      <c r="L180" s="21">
        <f t="shared" si="30"/>
        <v>0</v>
      </c>
      <c r="M180" s="22">
        <v>0</v>
      </c>
      <c r="N180" s="17">
        <f t="shared" si="32"/>
        <v>0</v>
      </c>
      <c r="O180" s="30"/>
      <c r="P180" s="55"/>
      <c r="Q180" s="32"/>
      <c r="R180" s="30"/>
      <c r="S180" s="55"/>
      <c r="T180" s="32"/>
    </row>
    <row r="181" spans="1:20" ht="46.5" customHeight="1">
      <c r="A181" s="51">
        <v>5210640</v>
      </c>
      <c r="B181" s="52" t="s">
        <v>255</v>
      </c>
      <c r="C181" s="55">
        <v>0</v>
      </c>
      <c r="D181" s="55">
        <v>0</v>
      </c>
      <c r="E181" s="55">
        <v>9013.1</v>
      </c>
      <c r="F181" s="55"/>
      <c r="G181" s="55">
        <v>9013.1</v>
      </c>
      <c r="H181" s="30">
        <f t="shared" si="22"/>
        <v>0</v>
      </c>
      <c r="I181" s="107">
        <f>G181/G297</f>
        <v>1.4612204532926949E-2</v>
      </c>
      <c r="J181" s="55">
        <v>0</v>
      </c>
      <c r="K181" s="32" t="e">
        <f>IF(#REF!=0,"0,0%",J181/#REF!)</f>
        <v>#REF!</v>
      </c>
      <c r="L181" s="21">
        <f t="shared" si="30"/>
        <v>0</v>
      </c>
      <c r="M181" s="22">
        <f t="shared" si="31"/>
        <v>1</v>
      </c>
      <c r="N181" s="17">
        <f t="shared" si="32"/>
        <v>9013.1</v>
      </c>
      <c r="O181" s="30"/>
      <c r="P181" s="55"/>
      <c r="Q181" s="32"/>
      <c r="R181" s="30"/>
      <c r="S181" s="55"/>
      <c r="T181" s="32"/>
    </row>
    <row r="182" spans="1:20" ht="99" hidden="1">
      <c r="A182" s="51">
        <v>5210627</v>
      </c>
      <c r="B182" s="52" t="s">
        <v>256</v>
      </c>
      <c r="C182" s="55">
        <v>0</v>
      </c>
      <c r="D182" s="55">
        <v>0</v>
      </c>
      <c r="E182" s="55">
        <v>0</v>
      </c>
      <c r="F182" s="55">
        <v>0</v>
      </c>
      <c r="G182" s="55"/>
      <c r="H182" s="30">
        <f t="shared" si="22"/>
        <v>0</v>
      </c>
      <c r="I182" s="107">
        <f>G182/G297</f>
        <v>0</v>
      </c>
      <c r="J182" s="55">
        <v>5000</v>
      </c>
      <c r="K182" s="32" t="e">
        <f>IF(#REF!=0,"0,0%",J182/#REF!)</f>
        <v>#REF!</v>
      </c>
      <c r="L182" s="21">
        <f t="shared" si="30"/>
        <v>0</v>
      </c>
      <c r="M182" s="22" t="e">
        <f t="shared" si="31"/>
        <v>#DIV/0!</v>
      </c>
      <c r="N182" s="17">
        <f t="shared" si="32"/>
        <v>0</v>
      </c>
      <c r="O182" s="30"/>
      <c r="P182" s="55"/>
      <c r="Q182" s="32"/>
      <c r="R182" s="30"/>
      <c r="S182" s="55"/>
      <c r="T182" s="32"/>
    </row>
    <row r="183" spans="1:20" ht="33" hidden="1">
      <c r="A183" s="51">
        <v>5210628</v>
      </c>
      <c r="B183" s="52" t="s">
        <v>257</v>
      </c>
      <c r="C183" s="55">
        <v>0</v>
      </c>
      <c r="D183" s="55">
        <v>0</v>
      </c>
      <c r="E183" s="55">
        <v>0</v>
      </c>
      <c r="F183" s="55">
        <v>0</v>
      </c>
      <c r="G183" s="55">
        <v>0</v>
      </c>
      <c r="H183" s="30">
        <f t="shared" si="22"/>
        <v>0</v>
      </c>
      <c r="I183" s="107" t="e">
        <f>G183/G185</f>
        <v>#DIV/0!</v>
      </c>
      <c r="J183" s="55">
        <v>0</v>
      </c>
      <c r="K183" s="32" t="e">
        <f>IF(#REF!=0,"0,0%",J183/#REF!)</f>
        <v>#REF!</v>
      </c>
      <c r="L183" s="21">
        <f t="shared" si="30"/>
        <v>0</v>
      </c>
      <c r="M183" s="22" t="e">
        <f t="shared" si="31"/>
        <v>#DIV/0!</v>
      </c>
      <c r="N183" s="17">
        <f t="shared" si="32"/>
        <v>0</v>
      </c>
      <c r="O183" s="30"/>
      <c r="P183" s="55"/>
      <c r="Q183" s="32"/>
      <c r="R183" s="30"/>
      <c r="S183" s="55"/>
      <c r="T183" s="32"/>
    </row>
    <row r="184" spans="1:20" ht="16.5" hidden="1">
      <c r="A184" s="51"/>
      <c r="B184" s="52" t="s">
        <v>211</v>
      </c>
      <c r="C184" s="55">
        <v>0</v>
      </c>
      <c r="D184" s="55">
        <v>0</v>
      </c>
      <c r="E184" s="55">
        <v>0</v>
      </c>
      <c r="F184" s="55">
        <v>0</v>
      </c>
      <c r="G184" s="55">
        <v>0</v>
      </c>
      <c r="H184" s="30">
        <v>0</v>
      </c>
      <c r="I184" s="107">
        <f>G184/G297</f>
        <v>0</v>
      </c>
      <c r="J184" s="55">
        <v>5000</v>
      </c>
      <c r="K184" s="32" t="e">
        <f>IF(#REF!=0,"0,0%",J184/#REF!)</f>
        <v>#REF!</v>
      </c>
      <c r="L184" s="21">
        <f t="shared" si="30"/>
        <v>0</v>
      </c>
      <c r="M184" s="22" t="e">
        <f t="shared" si="31"/>
        <v>#DIV/0!</v>
      </c>
      <c r="N184" s="17">
        <f t="shared" si="32"/>
        <v>0</v>
      </c>
      <c r="O184" s="30"/>
      <c r="P184" s="55"/>
      <c r="Q184" s="32"/>
      <c r="R184" s="30"/>
      <c r="S184" s="55"/>
      <c r="T184" s="32"/>
    </row>
    <row r="185" spans="1:20" ht="16.5" hidden="1">
      <c r="A185" s="51" t="s">
        <v>216</v>
      </c>
      <c r="B185" s="52" t="s">
        <v>258</v>
      </c>
      <c r="C185" s="55">
        <f>19090.4+3676.9</f>
        <v>22767.300000000003</v>
      </c>
      <c r="D185" s="55">
        <v>0</v>
      </c>
      <c r="E185" s="55">
        <v>0</v>
      </c>
      <c r="F185" s="55">
        <v>0</v>
      </c>
      <c r="G185" s="55"/>
      <c r="H185" s="55">
        <f>E185-G185</f>
        <v>0</v>
      </c>
      <c r="I185" s="107">
        <f>G185/G297</f>
        <v>0</v>
      </c>
      <c r="J185" s="55">
        <v>0</v>
      </c>
      <c r="K185" s="32" t="e">
        <f>IF(#REF!=0,"0,0%",J185/#REF!)</f>
        <v>#REF!</v>
      </c>
      <c r="L185" s="21">
        <f t="shared" si="30"/>
        <v>0</v>
      </c>
      <c r="M185" s="22" t="e">
        <f t="shared" si="31"/>
        <v>#DIV/0!</v>
      </c>
      <c r="N185" s="17">
        <f t="shared" si="32"/>
        <v>0</v>
      </c>
      <c r="O185" s="30"/>
      <c r="P185" s="55"/>
      <c r="Q185" s="32"/>
      <c r="R185" s="30"/>
      <c r="S185" s="55"/>
      <c r="T185" s="32"/>
    </row>
    <row r="186" spans="1:20" ht="99" hidden="1">
      <c r="A186" s="8">
        <v>7950300</v>
      </c>
      <c r="B186" s="40" t="s">
        <v>259</v>
      </c>
      <c r="C186" s="30">
        <v>0</v>
      </c>
      <c r="D186" s="30">
        <v>1400</v>
      </c>
      <c r="E186" s="30">
        <v>0</v>
      </c>
      <c r="F186" s="30">
        <v>0</v>
      </c>
      <c r="G186" s="30">
        <v>0</v>
      </c>
      <c r="H186" s="30">
        <f t="shared" si="22"/>
        <v>0</v>
      </c>
      <c r="I186" s="107">
        <f>G186/G297</f>
        <v>0</v>
      </c>
      <c r="J186" s="55">
        <v>0</v>
      </c>
      <c r="K186" s="32" t="e">
        <f>IF(#REF!=0,"0,0%",J186/#REF!)</f>
        <v>#REF!</v>
      </c>
      <c r="L186" s="21">
        <f t="shared" si="30"/>
        <v>0</v>
      </c>
      <c r="M186" s="22">
        <v>0</v>
      </c>
      <c r="N186" s="17">
        <f t="shared" si="32"/>
        <v>0</v>
      </c>
      <c r="O186" s="55">
        <f>200+1400</f>
        <v>1600</v>
      </c>
      <c r="P186" s="55">
        <f>200+1400</f>
        <v>1600</v>
      </c>
      <c r="Q186" s="32">
        <f t="shared" si="28"/>
        <v>1</v>
      </c>
      <c r="R186" s="55">
        <f>1520+280</f>
        <v>1800</v>
      </c>
      <c r="S186" s="55">
        <f>1520+280</f>
        <v>1800</v>
      </c>
      <c r="T186" s="32">
        <f t="shared" si="29"/>
        <v>1</v>
      </c>
    </row>
    <row r="187" spans="1:20" ht="66">
      <c r="A187" s="8">
        <v>7950800</v>
      </c>
      <c r="B187" s="40" t="s">
        <v>260</v>
      </c>
      <c r="C187" s="30">
        <v>1895.4</v>
      </c>
      <c r="D187" s="30">
        <v>1200</v>
      </c>
      <c r="E187" s="30">
        <v>1988.7</v>
      </c>
      <c r="F187" s="30">
        <v>1895.4</v>
      </c>
      <c r="G187" s="30">
        <v>1988.6</v>
      </c>
      <c r="H187" s="30">
        <f t="shared" si="22"/>
        <v>0.10000000000013642</v>
      </c>
      <c r="I187" s="107">
        <f>G187/G297</f>
        <v>3.2239551246717032E-3</v>
      </c>
      <c r="J187" s="30">
        <v>0</v>
      </c>
      <c r="K187" s="32" t="e">
        <f>IF(#REF!=0,"0,0%",J187/#REF!)</f>
        <v>#REF!</v>
      </c>
      <c r="L187" s="21">
        <f t="shared" si="30"/>
        <v>-0.10000000000013642</v>
      </c>
      <c r="M187" s="22">
        <f t="shared" si="31"/>
        <v>0.99994971589480564</v>
      </c>
      <c r="N187" s="17">
        <f t="shared" si="32"/>
        <v>93.199999999999818</v>
      </c>
      <c r="O187" s="55">
        <v>1600</v>
      </c>
      <c r="P187" s="30">
        <v>1600</v>
      </c>
      <c r="Q187" s="32">
        <f t="shared" si="28"/>
        <v>1</v>
      </c>
      <c r="R187" s="55">
        <v>1900</v>
      </c>
      <c r="S187" s="30">
        <v>1900</v>
      </c>
      <c r="T187" s="32">
        <f t="shared" si="29"/>
        <v>1</v>
      </c>
    </row>
    <row r="188" spans="1:20" ht="16.5" hidden="1">
      <c r="A188" s="8"/>
      <c r="B188" s="138" t="s">
        <v>207</v>
      </c>
      <c r="C188" s="30"/>
      <c r="D188" s="30"/>
      <c r="E188" s="30"/>
      <c r="F188" s="30"/>
      <c r="G188" s="30"/>
      <c r="H188" s="30"/>
      <c r="I188" s="107" t="e">
        <f>G188/G190</f>
        <v>#DIV/0!</v>
      </c>
      <c r="J188" s="30"/>
      <c r="K188" s="32"/>
      <c r="L188" s="21">
        <f t="shared" si="30"/>
        <v>0</v>
      </c>
      <c r="M188" s="22" t="e">
        <f t="shared" si="31"/>
        <v>#DIV/0!</v>
      </c>
      <c r="N188" s="17">
        <f t="shared" si="32"/>
        <v>0</v>
      </c>
      <c r="O188" s="55"/>
      <c r="P188" s="30"/>
      <c r="Q188" s="32"/>
      <c r="R188" s="55"/>
      <c r="S188" s="30"/>
      <c r="T188" s="32"/>
    </row>
    <row r="189" spans="1:20" ht="99">
      <c r="A189" s="8">
        <v>7954100</v>
      </c>
      <c r="B189" s="40" t="s">
        <v>261</v>
      </c>
      <c r="C189" s="30">
        <v>927.2</v>
      </c>
      <c r="D189" s="30">
        <v>4994</v>
      </c>
      <c r="E189" s="30">
        <v>927.2</v>
      </c>
      <c r="F189" s="30">
        <v>927.2</v>
      </c>
      <c r="G189" s="30">
        <v>927.2</v>
      </c>
      <c r="H189" s="30">
        <f t="shared" si="22"/>
        <v>0</v>
      </c>
      <c r="I189" s="107">
        <f>G189/G297</f>
        <v>1.5031938004604261E-3</v>
      </c>
      <c r="J189" s="30">
        <v>1670.3</v>
      </c>
      <c r="K189" s="32" t="e">
        <f>IF(#REF!=0,"0,0%",J189/#REF!)</f>
        <v>#REF!</v>
      </c>
      <c r="L189" s="21">
        <f t="shared" si="30"/>
        <v>0</v>
      </c>
      <c r="M189" s="22">
        <f t="shared" si="31"/>
        <v>1</v>
      </c>
      <c r="N189" s="17">
        <f t="shared" si="32"/>
        <v>0</v>
      </c>
      <c r="O189" s="55">
        <v>4994</v>
      </c>
      <c r="P189" s="30">
        <v>4994</v>
      </c>
      <c r="Q189" s="32">
        <f t="shared" si="28"/>
        <v>1</v>
      </c>
      <c r="R189" s="55">
        <v>4994</v>
      </c>
      <c r="S189" s="30">
        <v>4994</v>
      </c>
      <c r="T189" s="32">
        <f t="shared" si="29"/>
        <v>1</v>
      </c>
    </row>
    <row r="190" spans="1:20" ht="100.5" hidden="1" customHeight="1">
      <c r="A190" s="51">
        <v>7954400</v>
      </c>
      <c r="B190" s="52" t="s">
        <v>262</v>
      </c>
      <c r="C190" s="30">
        <v>0</v>
      </c>
      <c r="D190" s="30">
        <v>0</v>
      </c>
      <c r="E190" s="30">
        <v>0</v>
      </c>
      <c r="F190" s="30">
        <v>0</v>
      </c>
      <c r="G190" s="30">
        <v>0</v>
      </c>
      <c r="H190" s="30">
        <f t="shared" si="22"/>
        <v>0</v>
      </c>
      <c r="I190" s="107" t="e">
        <f>G190/G192</f>
        <v>#DIV/0!</v>
      </c>
      <c r="J190" s="55">
        <v>0</v>
      </c>
      <c r="K190" s="32" t="e">
        <f>IF(#REF!=0,"0,0%",J190/#REF!)</f>
        <v>#REF!</v>
      </c>
      <c r="L190" s="21">
        <f t="shared" si="30"/>
        <v>0</v>
      </c>
      <c r="M190" s="22" t="e">
        <f t="shared" si="31"/>
        <v>#DIV/0!</v>
      </c>
      <c r="N190" s="17">
        <f t="shared" si="32"/>
        <v>0</v>
      </c>
      <c r="O190" s="30">
        <v>8932.2999999999993</v>
      </c>
      <c r="P190" s="55">
        <v>8932.2999999999993</v>
      </c>
      <c r="Q190" s="32">
        <f t="shared" si="28"/>
        <v>1</v>
      </c>
      <c r="R190" s="30">
        <v>19529.900000000001</v>
      </c>
      <c r="S190" s="55">
        <v>19529.900000000001</v>
      </c>
      <c r="T190" s="32">
        <f t="shared" si="29"/>
        <v>1</v>
      </c>
    </row>
    <row r="191" spans="1:20" ht="115.5" hidden="1">
      <c r="A191" s="151">
        <v>7954500</v>
      </c>
      <c r="B191" s="52" t="s">
        <v>210</v>
      </c>
      <c r="C191" s="30">
        <v>310.2</v>
      </c>
      <c r="D191" s="30">
        <v>0</v>
      </c>
      <c r="E191" s="30">
        <v>0</v>
      </c>
      <c r="F191" s="30">
        <v>310.2</v>
      </c>
      <c r="G191" s="30">
        <v>0</v>
      </c>
      <c r="H191" s="30">
        <f t="shared" si="22"/>
        <v>0</v>
      </c>
      <c r="I191" s="107">
        <v>0</v>
      </c>
      <c r="J191" s="55">
        <v>0</v>
      </c>
      <c r="K191" s="32" t="e">
        <f>IF(#REF!=0,"0,0%",J191/#REF!)</f>
        <v>#REF!</v>
      </c>
      <c r="L191" s="21">
        <f t="shared" si="30"/>
        <v>0</v>
      </c>
      <c r="M191" s="22">
        <v>0</v>
      </c>
      <c r="N191" s="17">
        <f t="shared" si="32"/>
        <v>-310.2</v>
      </c>
      <c r="O191" s="30">
        <v>0</v>
      </c>
      <c r="P191" s="55">
        <v>0</v>
      </c>
      <c r="Q191" s="32" t="str">
        <f t="shared" si="28"/>
        <v>0,0%</v>
      </c>
      <c r="R191" s="30">
        <v>0</v>
      </c>
      <c r="S191" s="55">
        <v>0</v>
      </c>
      <c r="T191" s="32" t="str">
        <f t="shared" si="29"/>
        <v>0,0%</v>
      </c>
    </row>
    <row r="192" spans="1:20" ht="82.5" hidden="1">
      <c r="A192" s="51">
        <v>7955800</v>
      </c>
      <c r="B192" s="52" t="s">
        <v>88</v>
      </c>
      <c r="C192" s="55">
        <v>0</v>
      </c>
      <c r="D192" s="55">
        <v>0</v>
      </c>
      <c r="E192" s="55">
        <v>0</v>
      </c>
      <c r="F192" s="55">
        <v>19090.400000000001</v>
      </c>
      <c r="G192" s="55">
        <v>0</v>
      </c>
      <c r="H192" s="55">
        <f t="shared" si="22"/>
        <v>0</v>
      </c>
      <c r="I192" s="107">
        <f>G192/G194</f>
        <v>0</v>
      </c>
      <c r="J192" s="55">
        <v>0</v>
      </c>
      <c r="K192" s="32" t="e">
        <f>IF(#REF!=0,"0,0%",J192/#REF!)</f>
        <v>#REF!</v>
      </c>
      <c r="L192" s="21">
        <f t="shared" si="30"/>
        <v>0</v>
      </c>
      <c r="M192" s="22">
        <v>0</v>
      </c>
      <c r="N192" s="17">
        <f t="shared" si="32"/>
        <v>-19090.400000000001</v>
      </c>
      <c r="O192" s="30"/>
      <c r="P192" s="55"/>
      <c r="Q192" s="32"/>
      <c r="R192" s="30"/>
      <c r="S192" s="55"/>
      <c r="T192" s="32"/>
    </row>
    <row r="193" spans="1:21" ht="33" hidden="1">
      <c r="A193" s="151" t="s">
        <v>263</v>
      </c>
      <c r="B193" s="52" t="s">
        <v>264</v>
      </c>
      <c r="C193" s="30">
        <v>34966.1</v>
      </c>
      <c r="D193" s="30">
        <v>0</v>
      </c>
      <c r="E193" s="30">
        <v>0</v>
      </c>
      <c r="F193" s="30">
        <v>34966.1</v>
      </c>
      <c r="G193" s="30">
        <v>0</v>
      </c>
      <c r="H193" s="30">
        <f t="shared" si="22"/>
        <v>0</v>
      </c>
      <c r="I193" s="107">
        <v>0</v>
      </c>
      <c r="J193" s="55">
        <v>0</v>
      </c>
      <c r="K193" s="130" t="e">
        <f>IF(#REF!=0,"0,0%",J193/#REF!)</f>
        <v>#REF!</v>
      </c>
      <c r="L193" s="21">
        <f t="shared" si="30"/>
        <v>0</v>
      </c>
      <c r="M193" s="22">
        <v>0</v>
      </c>
      <c r="N193" s="17">
        <f t="shared" si="32"/>
        <v>-34966.1</v>
      </c>
      <c r="O193" s="55">
        <v>0</v>
      </c>
      <c r="P193" s="55">
        <v>0</v>
      </c>
      <c r="Q193" s="130" t="str">
        <f t="shared" si="28"/>
        <v>0,0%</v>
      </c>
      <c r="R193" s="55">
        <v>0</v>
      </c>
      <c r="S193" s="55">
        <v>0</v>
      </c>
      <c r="T193" s="130" t="str">
        <f t="shared" si="29"/>
        <v>0,0%</v>
      </c>
    </row>
    <row r="194" spans="1:21" ht="49.5">
      <c r="A194" s="151" t="s">
        <v>265</v>
      </c>
      <c r="B194" s="52" t="s">
        <v>266</v>
      </c>
      <c r="C194" s="30">
        <v>0</v>
      </c>
      <c r="D194" s="30">
        <v>0</v>
      </c>
      <c r="E194" s="30">
        <v>99</v>
      </c>
      <c r="F194" s="30">
        <v>0</v>
      </c>
      <c r="G194" s="30">
        <v>99</v>
      </c>
      <c r="H194" s="30">
        <f t="shared" si="22"/>
        <v>0</v>
      </c>
      <c r="I194" s="107">
        <f>G194/G297</f>
        <v>1.6050063227521805E-4</v>
      </c>
      <c r="J194" s="55">
        <v>0</v>
      </c>
      <c r="K194" s="130" t="e">
        <f>IF(#REF!=0,"0,0%",J194/#REF!)</f>
        <v>#REF!</v>
      </c>
      <c r="L194" s="21">
        <f t="shared" si="30"/>
        <v>0</v>
      </c>
      <c r="M194" s="22">
        <f t="shared" si="31"/>
        <v>1</v>
      </c>
      <c r="N194" s="17">
        <f t="shared" si="32"/>
        <v>99</v>
      </c>
      <c r="O194" s="55"/>
      <c r="P194" s="55"/>
      <c r="Q194" s="130"/>
      <c r="R194" s="55"/>
      <c r="S194" s="55"/>
      <c r="T194" s="130"/>
    </row>
    <row r="195" spans="1:21" ht="49.5" hidden="1">
      <c r="A195" s="151">
        <v>4300000</v>
      </c>
      <c r="B195" s="52" t="s">
        <v>267</v>
      </c>
      <c r="C195" s="30">
        <v>0</v>
      </c>
      <c r="D195" s="30">
        <v>0</v>
      </c>
      <c r="E195" s="30">
        <v>0</v>
      </c>
      <c r="F195" s="30">
        <v>0</v>
      </c>
      <c r="G195" s="30">
        <v>0</v>
      </c>
      <c r="H195" s="30">
        <f t="shared" si="22"/>
        <v>0</v>
      </c>
      <c r="I195" s="107" t="e">
        <f>G195/G197</f>
        <v>#DIV/0!</v>
      </c>
      <c r="J195" s="55">
        <v>0</v>
      </c>
      <c r="K195" s="130" t="e">
        <f>IF(#REF!=0,"0,0%",J195/#REF!)</f>
        <v>#REF!</v>
      </c>
      <c r="L195" s="21">
        <f t="shared" si="30"/>
        <v>0</v>
      </c>
      <c r="M195" s="22" t="e">
        <f t="shared" si="31"/>
        <v>#DIV/0!</v>
      </c>
      <c r="N195" s="17">
        <f t="shared" si="32"/>
        <v>0</v>
      </c>
      <c r="O195" s="55"/>
      <c r="P195" s="55"/>
      <c r="Q195" s="130"/>
      <c r="R195" s="55"/>
      <c r="S195" s="55"/>
      <c r="T195" s="130"/>
    </row>
    <row r="196" spans="1:21" ht="99" hidden="1">
      <c r="A196" s="51">
        <v>4401210</v>
      </c>
      <c r="B196" s="52" t="s">
        <v>268</v>
      </c>
      <c r="C196" s="30">
        <v>0</v>
      </c>
      <c r="D196" s="30">
        <v>0</v>
      </c>
      <c r="E196" s="30">
        <v>0</v>
      </c>
      <c r="F196" s="30">
        <v>0</v>
      </c>
      <c r="G196" s="30">
        <v>0</v>
      </c>
      <c r="H196" s="30">
        <f t="shared" si="22"/>
        <v>0</v>
      </c>
      <c r="I196" s="107" t="e">
        <f>G196/G198</f>
        <v>#DIV/0!</v>
      </c>
      <c r="J196" s="55">
        <v>0</v>
      </c>
      <c r="K196" s="130" t="e">
        <f>IF(#REF!=0,"0,0%",J196/#REF!)</f>
        <v>#REF!</v>
      </c>
      <c r="L196" s="21">
        <f t="shared" si="30"/>
        <v>0</v>
      </c>
      <c r="M196" s="22" t="e">
        <f t="shared" si="31"/>
        <v>#DIV/0!</v>
      </c>
      <c r="N196" s="17">
        <f t="shared" si="32"/>
        <v>0</v>
      </c>
      <c r="O196" s="55"/>
      <c r="P196" s="55"/>
      <c r="Q196" s="130"/>
      <c r="R196" s="55"/>
      <c r="S196" s="55"/>
      <c r="T196" s="130"/>
    </row>
    <row r="197" spans="1:21" ht="99" hidden="1">
      <c r="A197" s="51">
        <v>4200460</v>
      </c>
      <c r="B197" s="52" t="s">
        <v>269</v>
      </c>
      <c r="C197" s="55">
        <v>0</v>
      </c>
      <c r="D197" s="55">
        <v>0</v>
      </c>
      <c r="E197" s="55">
        <v>0</v>
      </c>
      <c r="F197" s="55">
        <v>0</v>
      </c>
      <c r="G197" s="55">
        <v>0</v>
      </c>
      <c r="H197" s="55">
        <f t="shared" si="22"/>
        <v>0</v>
      </c>
      <c r="I197" s="107">
        <f>G197/G199</f>
        <v>0</v>
      </c>
      <c r="J197" s="55">
        <v>0</v>
      </c>
      <c r="K197" s="130" t="e">
        <f>IF(#REF!=0,"0,0%",J197/#REF!)</f>
        <v>#REF!</v>
      </c>
      <c r="L197" s="21">
        <f t="shared" si="30"/>
        <v>0</v>
      </c>
      <c r="M197" s="22" t="e">
        <f t="shared" si="31"/>
        <v>#DIV/0!</v>
      </c>
      <c r="N197" s="17">
        <f t="shared" si="32"/>
        <v>0</v>
      </c>
      <c r="O197" s="55"/>
      <c r="P197" s="55"/>
      <c r="Q197" s="130"/>
      <c r="R197" s="55"/>
      <c r="S197" s="55"/>
      <c r="T197" s="130"/>
    </row>
    <row r="198" spans="1:21" ht="16.5" hidden="1">
      <c r="A198" s="144"/>
      <c r="B198" s="52" t="s">
        <v>211</v>
      </c>
      <c r="C198" s="55">
        <v>0</v>
      </c>
      <c r="D198" s="55">
        <v>0</v>
      </c>
      <c r="E198" s="55">
        <v>0</v>
      </c>
      <c r="F198" s="55">
        <v>0</v>
      </c>
      <c r="G198" s="55">
        <v>0</v>
      </c>
      <c r="H198" s="55">
        <f t="shared" si="22"/>
        <v>0</v>
      </c>
      <c r="I198" s="107">
        <f>G198/G200</f>
        <v>0</v>
      </c>
      <c r="J198" s="55">
        <v>0</v>
      </c>
      <c r="K198" s="130" t="e">
        <f>IF(#REF!=0,"0,0%",J198/#REF!)</f>
        <v>#REF!</v>
      </c>
      <c r="L198" s="21">
        <f t="shared" ref="L198:L255" si="35">G198-E198</f>
        <v>0</v>
      </c>
      <c r="M198" s="22" t="e">
        <f t="shared" ref="M198:M255" si="36">G198/E198</f>
        <v>#DIV/0!</v>
      </c>
      <c r="N198" s="17">
        <f t="shared" ref="N198:N255" si="37">G198-F198</f>
        <v>0</v>
      </c>
      <c r="O198" s="55"/>
      <c r="P198" s="55"/>
      <c r="Q198" s="130"/>
      <c r="R198" s="55"/>
      <c r="S198" s="55"/>
      <c r="T198" s="130"/>
    </row>
    <row r="199" spans="1:21" s="61" customFormat="1" ht="16.5">
      <c r="A199" s="152" t="s">
        <v>270</v>
      </c>
      <c r="B199" s="145" t="s">
        <v>271</v>
      </c>
      <c r="C199" s="48">
        <f>C200</f>
        <v>0</v>
      </c>
      <c r="D199" s="48">
        <f>D200</f>
        <v>0</v>
      </c>
      <c r="E199" s="48">
        <f>E200</f>
        <v>99.5</v>
      </c>
      <c r="F199" s="48">
        <f>F200</f>
        <v>0</v>
      </c>
      <c r="G199" s="48">
        <f>G200</f>
        <v>99.5</v>
      </c>
      <c r="H199" s="55">
        <f t="shared" si="22"/>
        <v>0</v>
      </c>
      <c r="I199" s="107">
        <f>G199/G297</f>
        <v>1.6131124152913328E-4</v>
      </c>
      <c r="J199" s="48">
        <f>J200</f>
        <v>0</v>
      </c>
      <c r="K199" s="130" t="e">
        <f>IF(#REF!=0,"0,0%",J199/#REF!)</f>
        <v>#REF!</v>
      </c>
      <c r="L199" s="21">
        <f t="shared" si="35"/>
        <v>0</v>
      </c>
      <c r="M199" s="22">
        <f t="shared" si="36"/>
        <v>1</v>
      </c>
      <c r="N199" s="17">
        <f t="shared" si="37"/>
        <v>99.5</v>
      </c>
      <c r="O199" s="48"/>
      <c r="P199" s="48"/>
      <c r="Q199" s="35"/>
      <c r="R199" s="48"/>
      <c r="S199" s="48"/>
      <c r="T199" s="35"/>
    </row>
    <row r="200" spans="1:21" ht="16.5" hidden="1">
      <c r="A200" s="51"/>
      <c r="B200" s="52" t="s">
        <v>272</v>
      </c>
      <c r="C200" s="55">
        <v>0</v>
      </c>
      <c r="D200" s="55">
        <v>0</v>
      </c>
      <c r="E200" s="55">
        <v>99.5</v>
      </c>
      <c r="F200" s="55">
        <v>0</v>
      </c>
      <c r="G200" s="55">
        <v>99.5</v>
      </c>
      <c r="H200" s="55">
        <f t="shared" si="22"/>
        <v>0</v>
      </c>
      <c r="I200" s="107">
        <f>G200/G297</f>
        <v>1.6131124152913328E-4</v>
      </c>
      <c r="J200" s="55">
        <v>0</v>
      </c>
      <c r="K200" s="130" t="e">
        <f>IF(#REF!=0,"0,0%",J200/#REF!)</f>
        <v>#REF!</v>
      </c>
      <c r="L200" s="21">
        <f t="shared" si="35"/>
        <v>0</v>
      </c>
      <c r="M200" s="22">
        <f t="shared" si="36"/>
        <v>1</v>
      </c>
      <c r="N200" s="17">
        <f t="shared" si="37"/>
        <v>99.5</v>
      </c>
      <c r="O200" s="55"/>
      <c r="P200" s="55"/>
      <c r="Q200" s="130"/>
      <c r="R200" s="55"/>
      <c r="S200" s="55"/>
      <c r="T200" s="130"/>
    </row>
    <row r="201" spans="1:21" ht="17.25" customHeight="1">
      <c r="A201" s="112" t="s">
        <v>273</v>
      </c>
      <c r="B201" s="116" t="s">
        <v>274</v>
      </c>
      <c r="C201" s="60">
        <f t="shared" ref="C201:J201" si="38">C202+C207+C210+C215+C221+C223+C226</f>
        <v>91798.6</v>
      </c>
      <c r="D201" s="60">
        <f t="shared" si="38"/>
        <v>81768.600000000006</v>
      </c>
      <c r="E201" s="60">
        <f t="shared" si="38"/>
        <v>99730.9</v>
      </c>
      <c r="F201" s="60">
        <f t="shared" si="38"/>
        <v>82768.899999999994</v>
      </c>
      <c r="G201" s="60">
        <f t="shared" si="38"/>
        <v>99730.4</v>
      </c>
      <c r="H201" s="60">
        <f t="shared" si="22"/>
        <v>0.5</v>
      </c>
      <c r="I201" s="107">
        <f>G201/G297</f>
        <v>0.16168477027333744</v>
      </c>
      <c r="J201" s="60">
        <f t="shared" si="38"/>
        <v>107132.89999999998</v>
      </c>
      <c r="K201" s="20" t="e">
        <f>IF(#REF!=0,"0,0%",J201/#REF!)</f>
        <v>#REF!</v>
      </c>
      <c r="L201" s="21">
        <f t="shared" si="35"/>
        <v>-0.5</v>
      </c>
      <c r="M201" s="22">
        <f t="shared" si="36"/>
        <v>0.99999498650869489</v>
      </c>
      <c r="N201" s="17">
        <f t="shared" si="37"/>
        <v>16961.5</v>
      </c>
      <c r="O201" s="60">
        <f>O202+O207+O210+O215+O221+O223+O226</f>
        <v>102443.09999999999</v>
      </c>
      <c r="P201" s="60">
        <f>P202+P207+P210+P215+P221+P223+P226</f>
        <v>83743.315733333337</v>
      </c>
      <c r="Q201" s="20">
        <f t="shared" si="28"/>
        <v>0.81746174933532223</v>
      </c>
      <c r="R201" s="60">
        <f>R202+R207+R210+R215+R221+R223+R226</f>
        <v>107700</v>
      </c>
      <c r="S201" s="60">
        <f>S202+S207+S210+S215+S221+S223+S226</f>
        <v>91456.911519999994</v>
      </c>
      <c r="T201" s="20">
        <f t="shared" si="29"/>
        <v>0.84918209396471678</v>
      </c>
    </row>
    <row r="202" spans="1:21" ht="16.5">
      <c r="A202" s="124">
        <v>2330500</v>
      </c>
      <c r="B202" s="153" t="s">
        <v>275</v>
      </c>
      <c r="C202" s="48">
        <f>C203+C204+C205</f>
        <v>50973</v>
      </c>
      <c r="D202" s="48">
        <f>D203+D204+D205</f>
        <v>46063.1</v>
      </c>
      <c r="E202" s="48">
        <f>E203+E204+E205</f>
        <v>51247.9</v>
      </c>
      <c r="F202" s="48">
        <f>F203+F204+F205</f>
        <v>42897</v>
      </c>
      <c r="G202" s="48">
        <f>G203+G204+G205</f>
        <v>51247.4</v>
      </c>
      <c r="H202" s="48">
        <f t="shared" si="22"/>
        <v>0.5</v>
      </c>
      <c r="I202" s="107">
        <f>G202/G297</f>
        <v>8.3083233358192024E-2</v>
      </c>
      <c r="J202" s="48">
        <f>J203+J204+J205</f>
        <v>60324.2</v>
      </c>
      <c r="K202" s="20" t="e">
        <f>IF(#REF!=0,"0,0%",J202/#REF!)</f>
        <v>#REF!</v>
      </c>
      <c r="L202" s="21">
        <f t="shared" si="35"/>
        <v>-0.5</v>
      </c>
      <c r="M202" s="22">
        <f t="shared" si="36"/>
        <v>0.99999024350266064</v>
      </c>
      <c r="N202" s="17">
        <f t="shared" si="37"/>
        <v>8350.4000000000015</v>
      </c>
      <c r="O202" s="48">
        <f>O203</f>
        <v>56401.599999999999</v>
      </c>
      <c r="P202" s="48">
        <f>P203</f>
        <v>49259.8</v>
      </c>
      <c r="Q202" s="20">
        <f t="shared" si="28"/>
        <v>0.87337593259765689</v>
      </c>
      <c r="R202" s="48">
        <f>R203</f>
        <v>60337.599999999999</v>
      </c>
      <c r="S202" s="48">
        <f>S203</f>
        <v>52776.100000000006</v>
      </c>
      <c r="T202" s="20">
        <f t="shared" si="29"/>
        <v>0.87468013311765813</v>
      </c>
    </row>
    <row r="203" spans="1:21" ht="16.5" hidden="1">
      <c r="A203" s="114"/>
      <c r="B203" s="135" t="s">
        <v>276</v>
      </c>
      <c r="C203" s="55">
        <f>42897+833.1</f>
        <v>43730.1</v>
      </c>
      <c r="D203" s="55">
        <f>46063.1</f>
        <v>46063.1</v>
      </c>
      <c r="E203" s="55">
        <f>33300.9+17946.9+0.1</f>
        <v>51247.9</v>
      </c>
      <c r="F203" s="55">
        <v>42897</v>
      </c>
      <c r="G203" s="55">
        <f>33300.5+17946.9</f>
        <v>51247.4</v>
      </c>
      <c r="H203" s="55">
        <f t="shared" si="22"/>
        <v>0.5</v>
      </c>
      <c r="I203" s="107">
        <f>G203/G297</f>
        <v>8.3083233358192024E-2</v>
      </c>
      <c r="J203" s="55">
        <f>49516.8+8169+3500+5638.4-6500</f>
        <v>60324.2</v>
      </c>
      <c r="K203" s="32" t="e">
        <f>IF(#REF!=0,"0,0%",J203/#REF!)</f>
        <v>#REF!</v>
      </c>
      <c r="L203" s="21">
        <f t="shared" si="35"/>
        <v>-0.5</v>
      </c>
      <c r="M203" s="22">
        <f t="shared" si="36"/>
        <v>0.99999024350266064</v>
      </c>
      <c r="N203" s="17">
        <f t="shared" si="37"/>
        <v>8350.4000000000015</v>
      </c>
      <c r="O203" s="55">
        <v>56401.599999999999</v>
      </c>
      <c r="P203" s="55">
        <f>9867.1+3029.2+35163.5+1200</f>
        <v>49259.8</v>
      </c>
      <c r="Q203" s="32">
        <f t="shared" si="28"/>
        <v>0.87337593259765689</v>
      </c>
      <c r="R203" s="55">
        <v>60337.599999999999</v>
      </c>
      <c r="S203" s="55">
        <f>9867.1+3029.2+38679.8+1200</f>
        <v>52776.100000000006</v>
      </c>
      <c r="T203" s="32">
        <f t="shared" si="29"/>
        <v>0.87468013311765813</v>
      </c>
      <c r="U203" s="3">
        <f>66824.2-3000</f>
        <v>63824.2</v>
      </c>
    </row>
    <row r="204" spans="1:21" ht="16.5" hidden="1">
      <c r="A204" s="114"/>
      <c r="B204" s="135"/>
      <c r="C204" s="55">
        <v>7242.9</v>
      </c>
      <c r="D204" s="55">
        <v>0</v>
      </c>
      <c r="E204" s="55">
        <v>0</v>
      </c>
      <c r="F204" s="55">
        <v>0</v>
      </c>
      <c r="G204" s="55">
        <v>0</v>
      </c>
      <c r="H204" s="154">
        <f t="shared" si="22"/>
        <v>0</v>
      </c>
      <c r="I204" s="107" t="e">
        <f>G204/G206</f>
        <v>#DIV/0!</v>
      </c>
      <c r="J204" s="55">
        <v>0</v>
      </c>
      <c r="K204" s="155" t="e">
        <f>IF(#REF!=0,"0,0%",J204/#REF!)</f>
        <v>#REF!</v>
      </c>
      <c r="L204" s="21">
        <f t="shared" si="35"/>
        <v>0</v>
      </c>
      <c r="M204" s="22" t="e">
        <f t="shared" si="36"/>
        <v>#DIV/0!</v>
      </c>
      <c r="N204" s="17">
        <f t="shared" si="37"/>
        <v>0</v>
      </c>
      <c r="O204" s="55"/>
      <c r="P204" s="55"/>
      <c r="Q204" s="32"/>
      <c r="R204" s="55"/>
      <c r="S204" s="55"/>
      <c r="T204" s="32"/>
    </row>
    <row r="205" spans="1:21" ht="25.5" hidden="1">
      <c r="A205" s="114" t="s">
        <v>277</v>
      </c>
      <c r="B205" s="135" t="s">
        <v>278</v>
      </c>
      <c r="C205" s="55">
        <v>0</v>
      </c>
      <c r="D205" s="55">
        <v>0</v>
      </c>
      <c r="E205" s="55">
        <v>0</v>
      </c>
      <c r="F205" s="55">
        <v>0</v>
      </c>
      <c r="G205" s="55">
        <v>0</v>
      </c>
      <c r="H205" s="55">
        <f t="shared" si="22"/>
        <v>0</v>
      </c>
      <c r="I205" s="107">
        <f>G205/G207</f>
        <v>0</v>
      </c>
      <c r="J205" s="55">
        <v>0</v>
      </c>
      <c r="K205" s="32" t="e">
        <f>IF(#REF!=0,"0,0%",J205/#REF!)</f>
        <v>#REF!</v>
      </c>
      <c r="L205" s="21">
        <f t="shared" si="35"/>
        <v>0</v>
      </c>
      <c r="M205" s="22" t="e">
        <f t="shared" si="36"/>
        <v>#DIV/0!</v>
      </c>
      <c r="N205" s="17">
        <f t="shared" si="37"/>
        <v>0</v>
      </c>
      <c r="O205" s="55"/>
      <c r="P205" s="55"/>
      <c r="Q205" s="32"/>
      <c r="R205" s="55"/>
      <c r="S205" s="55"/>
      <c r="T205" s="32"/>
    </row>
    <row r="206" spans="1:21" ht="16.5" hidden="1">
      <c r="A206" s="114"/>
      <c r="B206" s="138" t="s">
        <v>207</v>
      </c>
      <c r="C206" s="55"/>
      <c r="D206" s="55"/>
      <c r="E206" s="55"/>
      <c r="F206" s="55"/>
      <c r="G206" s="55"/>
      <c r="H206" s="55"/>
      <c r="I206" s="107">
        <f>G206/G208</f>
        <v>0</v>
      </c>
      <c r="J206" s="55"/>
      <c r="K206" s="32"/>
      <c r="L206" s="21">
        <f t="shared" si="35"/>
        <v>0</v>
      </c>
      <c r="M206" s="22" t="e">
        <f t="shared" si="36"/>
        <v>#DIV/0!</v>
      </c>
      <c r="N206" s="17">
        <f t="shared" si="37"/>
        <v>0</v>
      </c>
      <c r="O206" s="55"/>
      <c r="P206" s="55"/>
      <c r="Q206" s="32"/>
      <c r="R206" s="55"/>
      <c r="S206" s="55"/>
      <c r="T206" s="32"/>
    </row>
    <row r="207" spans="1:21" ht="16.5">
      <c r="A207" s="124">
        <v>2330510</v>
      </c>
      <c r="B207" s="153" t="s">
        <v>279</v>
      </c>
      <c r="C207" s="48">
        <f>C208+C209</f>
        <v>25060.2</v>
      </c>
      <c r="D207" s="48">
        <f>D208+D209</f>
        <v>17110.400000000001</v>
      </c>
      <c r="E207" s="48">
        <f>E208+E209</f>
        <v>29357.1</v>
      </c>
      <c r="F207" s="48">
        <f>F208+F209</f>
        <v>24483.7</v>
      </c>
      <c r="G207" s="48">
        <f>G208+G209</f>
        <v>29357.1</v>
      </c>
      <c r="H207" s="48">
        <f t="shared" si="22"/>
        <v>0</v>
      </c>
      <c r="I207" s="107">
        <f>G207/G297</f>
        <v>4.7594273856230343E-2</v>
      </c>
      <c r="J207" s="48">
        <f>J208+J209</f>
        <v>29448.1</v>
      </c>
      <c r="K207" s="20" t="e">
        <f>IF(#REF!=0,"0,0%",J207/#REF!)</f>
        <v>#REF!</v>
      </c>
      <c r="L207" s="21">
        <f t="shared" si="35"/>
        <v>0</v>
      </c>
      <c r="M207" s="22">
        <f t="shared" si="36"/>
        <v>1</v>
      </c>
      <c r="N207" s="17">
        <f t="shared" si="37"/>
        <v>4873.3999999999978</v>
      </c>
      <c r="O207" s="48">
        <f>O208</f>
        <v>28086.799999999999</v>
      </c>
      <c r="P207" s="48">
        <f>P208</f>
        <v>18724.533333333333</v>
      </c>
      <c r="Q207" s="20">
        <f t="shared" si="28"/>
        <v>0.66666666666666663</v>
      </c>
      <c r="R207" s="48">
        <f>R208</f>
        <v>28769.599999999999</v>
      </c>
      <c r="S207" s="48">
        <f>S208</f>
        <v>21577.200000000001</v>
      </c>
      <c r="T207" s="20">
        <f t="shared" si="29"/>
        <v>0.75000000000000011</v>
      </c>
    </row>
    <row r="208" spans="1:21" ht="16.5" hidden="1">
      <c r="A208" s="114"/>
      <c r="B208" s="115" t="s">
        <v>276</v>
      </c>
      <c r="C208" s="136">
        <f>24483.7+576.5</f>
        <v>25060.2</v>
      </c>
      <c r="D208" s="136">
        <v>17110.400000000001</v>
      </c>
      <c r="E208" s="137">
        <f>20847.5+8509.6</f>
        <v>29357.1</v>
      </c>
      <c r="F208" s="30">
        <v>24483.7</v>
      </c>
      <c r="G208" s="137">
        <f>20847.5+8509.6</f>
        <v>29357.1</v>
      </c>
      <c r="H208" s="137">
        <f t="shared" ref="H208:H271" si="39">E208-G208</f>
        <v>0</v>
      </c>
      <c r="I208" s="107">
        <f>G208/G297</f>
        <v>4.7594273856230343E-2</v>
      </c>
      <c r="J208" s="55">
        <f>23779.1+9169-3500</f>
        <v>29448.1</v>
      </c>
      <c r="K208" s="32" t="e">
        <f>IF(#REF!=0,"0,0%",J208/#REF!)</f>
        <v>#REF!</v>
      </c>
      <c r="L208" s="21">
        <f t="shared" si="35"/>
        <v>0</v>
      </c>
      <c r="M208" s="22">
        <f t="shared" si="36"/>
        <v>1</v>
      </c>
      <c r="N208" s="17">
        <f t="shared" si="37"/>
        <v>4873.3999999999978</v>
      </c>
      <c r="O208" s="30">
        <v>28086.799999999999</v>
      </c>
      <c r="P208" s="55">
        <f>O208/12*8</f>
        <v>18724.533333333333</v>
      </c>
      <c r="Q208" s="32">
        <f t="shared" si="28"/>
        <v>0.66666666666666663</v>
      </c>
      <c r="R208" s="30">
        <v>28769.599999999999</v>
      </c>
      <c r="S208" s="55">
        <f>R208/12*9</f>
        <v>21577.200000000001</v>
      </c>
      <c r="T208" s="32">
        <f t="shared" si="29"/>
        <v>0.75000000000000011</v>
      </c>
    </row>
    <row r="209" spans="1:21" ht="16.5" hidden="1">
      <c r="A209" s="114"/>
      <c r="B209" s="115" t="s">
        <v>280</v>
      </c>
      <c r="C209" s="136">
        <v>0</v>
      </c>
      <c r="D209" s="136">
        <v>0</v>
      </c>
      <c r="E209" s="137">
        <v>0</v>
      </c>
      <c r="F209" s="30">
        <v>0</v>
      </c>
      <c r="G209" s="137">
        <v>0</v>
      </c>
      <c r="H209" s="137"/>
      <c r="I209" s="107">
        <f>G209/G211</f>
        <v>0</v>
      </c>
      <c r="J209" s="55">
        <v>0</v>
      </c>
      <c r="K209" s="32" t="e">
        <f>IF(#REF!=0,"0,0%",J209/#REF!)</f>
        <v>#REF!</v>
      </c>
      <c r="L209" s="21">
        <f t="shared" si="35"/>
        <v>0</v>
      </c>
      <c r="M209" s="22" t="e">
        <f t="shared" si="36"/>
        <v>#DIV/0!</v>
      </c>
      <c r="N209" s="17">
        <f t="shared" si="37"/>
        <v>0</v>
      </c>
      <c r="O209" s="30"/>
      <c r="P209" s="55"/>
      <c r="Q209" s="32"/>
      <c r="R209" s="30"/>
      <c r="S209" s="55"/>
      <c r="T209" s="32"/>
    </row>
    <row r="210" spans="1:21" s="61" customFormat="1" ht="16.5">
      <c r="A210" s="124">
        <v>2330520</v>
      </c>
      <c r="B210" s="153" t="s">
        <v>281</v>
      </c>
      <c r="C210" s="48">
        <f>C211+C212+C213+C214</f>
        <v>7166.8000000000011</v>
      </c>
      <c r="D210" s="48">
        <f>D211+D212+D213+D214</f>
        <v>8079.7</v>
      </c>
      <c r="E210" s="48">
        <f>E211+E212+E213+E214</f>
        <v>8365.9000000000015</v>
      </c>
      <c r="F210" s="48">
        <f>F211+F212+F213+F214</f>
        <v>7004.7000000000007</v>
      </c>
      <c r="G210" s="48">
        <f>G211+G212+G213+G214</f>
        <v>8365.9000000000015</v>
      </c>
      <c r="H210" s="48">
        <f t="shared" si="39"/>
        <v>0</v>
      </c>
      <c r="I210" s="107">
        <f>G210/G297</f>
        <v>1.356295191465906E-2</v>
      </c>
      <c r="J210" s="48">
        <f>J211+J212+J213+J214</f>
        <v>9860.4</v>
      </c>
      <c r="K210" s="20" t="e">
        <f>IF(#REF!=0,"0,0%",J210/#REF!)</f>
        <v>#REF!</v>
      </c>
      <c r="L210" s="21">
        <f t="shared" si="35"/>
        <v>0</v>
      </c>
      <c r="M210" s="22">
        <f t="shared" si="36"/>
        <v>1</v>
      </c>
      <c r="N210" s="17">
        <f t="shared" si="37"/>
        <v>1361.2000000000007</v>
      </c>
      <c r="O210" s="48">
        <f>O211+O212</f>
        <v>10153.5</v>
      </c>
      <c r="P210" s="48">
        <f>P211+P212</f>
        <v>10412.582399999999</v>
      </c>
      <c r="Q210" s="20">
        <f t="shared" si="28"/>
        <v>1.0255165607918451</v>
      </c>
      <c r="R210" s="48">
        <f>R211+R212</f>
        <v>10497.1</v>
      </c>
      <c r="S210" s="48">
        <f>S211+S212</f>
        <v>10933.211519999999</v>
      </c>
      <c r="T210" s="20">
        <f t="shared" si="29"/>
        <v>1.0415459050594924</v>
      </c>
    </row>
    <row r="211" spans="1:21" ht="33" hidden="1">
      <c r="A211" s="51"/>
      <c r="B211" s="115" t="s">
        <v>282</v>
      </c>
      <c r="C211" s="156">
        <f>4954.1+162.1</f>
        <v>5116.2000000000007</v>
      </c>
      <c r="D211" s="156">
        <v>5725.2</v>
      </c>
      <c r="E211" s="157">
        <f>3685.7+29.9+2039.5</f>
        <v>5755.1</v>
      </c>
      <c r="F211" s="55">
        <v>4954.1000000000004</v>
      </c>
      <c r="G211" s="157">
        <f>29.9+2039.5+3685.7</f>
        <v>5755.1</v>
      </c>
      <c r="H211" s="157">
        <f t="shared" si="39"/>
        <v>0</v>
      </c>
      <c r="I211" s="107">
        <f>G211/G297</f>
        <v>9.3302746344152265E-3</v>
      </c>
      <c r="J211" s="55">
        <f>5559.7+1659.5</f>
        <v>7219.2</v>
      </c>
      <c r="K211" s="32" t="e">
        <f>IF(#REF!=0,"0,0%",J211/#REF!)</f>
        <v>#REF!</v>
      </c>
      <c r="L211" s="21">
        <f t="shared" si="35"/>
        <v>0</v>
      </c>
      <c r="M211" s="22">
        <f t="shared" si="36"/>
        <v>1</v>
      </c>
      <c r="N211" s="17">
        <f t="shared" si="37"/>
        <v>801</v>
      </c>
      <c r="O211" s="55">
        <v>7122.4</v>
      </c>
      <c r="P211" s="55">
        <f>J211+(J211*5.6%)</f>
        <v>7623.4751999999999</v>
      </c>
      <c r="Q211" s="32">
        <f t="shared" si="28"/>
        <v>1.0703520161743234</v>
      </c>
      <c r="R211" s="55">
        <v>7378.3</v>
      </c>
      <c r="S211" s="55">
        <f>+P211+(P211*5%)</f>
        <v>8004.6489599999995</v>
      </c>
      <c r="T211" s="32">
        <f t="shared" si="29"/>
        <v>1.0848906875567541</v>
      </c>
      <c r="U211" s="3">
        <f>7219.2-1000</f>
        <v>6219.2</v>
      </c>
    </row>
    <row r="212" spans="1:21" ht="49.5" hidden="1">
      <c r="A212" s="114"/>
      <c r="B212" s="115" t="s">
        <v>283</v>
      </c>
      <c r="C212" s="30">
        <v>2050.6</v>
      </c>
      <c r="D212" s="30">
        <f>2354.5</f>
        <v>2354.5</v>
      </c>
      <c r="E212" s="30">
        <f>1204.3+1406.5</f>
        <v>2610.8000000000002</v>
      </c>
      <c r="F212" s="30">
        <v>2050.6</v>
      </c>
      <c r="G212" s="30">
        <f>1204.3+1406.5</f>
        <v>2610.8000000000002</v>
      </c>
      <c r="H212" s="30">
        <f t="shared" si="39"/>
        <v>0</v>
      </c>
      <c r="I212" s="107">
        <f>G212/G297</f>
        <v>4.2326772802438314E-3</v>
      </c>
      <c r="J212" s="55">
        <f>3141.2-500</f>
        <v>2641.2</v>
      </c>
      <c r="K212" s="32" t="e">
        <f>IF(#REF!=0,"0,0%",J212/#REF!)</f>
        <v>#REF!</v>
      </c>
      <c r="L212" s="21">
        <f t="shared" si="35"/>
        <v>0</v>
      </c>
      <c r="M212" s="22">
        <f t="shared" si="36"/>
        <v>1</v>
      </c>
      <c r="N212" s="17">
        <f t="shared" si="37"/>
        <v>560.20000000000027</v>
      </c>
      <c r="O212" s="30">
        <v>3031.1</v>
      </c>
      <c r="P212" s="55">
        <f>J212+(J212*5.6%)</f>
        <v>2789.1071999999999</v>
      </c>
      <c r="Q212" s="32">
        <f t="shared" si="28"/>
        <v>0.92016337303289231</v>
      </c>
      <c r="R212" s="30">
        <v>3118.8</v>
      </c>
      <c r="S212" s="55">
        <f>+P212+(P212*5%)</f>
        <v>2928.5625599999998</v>
      </c>
      <c r="T212" s="32">
        <f t="shared" si="29"/>
        <v>0.93900300115429003</v>
      </c>
      <c r="U212" s="3">
        <f>3141.2-500</f>
        <v>2641.2</v>
      </c>
    </row>
    <row r="213" spans="1:21" ht="16.5" hidden="1">
      <c r="A213" s="114" t="s">
        <v>284</v>
      </c>
      <c r="B213" s="115" t="s">
        <v>285</v>
      </c>
      <c r="C213" s="30">
        <v>0</v>
      </c>
      <c r="D213" s="30">
        <v>0</v>
      </c>
      <c r="E213" s="30">
        <v>0</v>
      </c>
      <c r="F213" s="30">
        <v>0</v>
      </c>
      <c r="G213" s="30">
        <v>0</v>
      </c>
      <c r="H213" s="30">
        <f t="shared" si="39"/>
        <v>0</v>
      </c>
      <c r="I213" s="107">
        <f>G213/G215</f>
        <v>0</v>
      </c>
      <c r="J213" s="55">
        <v>0</v>
      </c>
      <c r="K213" s="32" t="e">
        <f>IF(#REF!=0,"0,0%",J213/#REF!)</f>
        <v>#REF!</v>
      </c>
      <c r="L213" s="21">
        <f t="shared" si="35"/>
        <v>0</v>
      </c>
      <c r="M213" s="22" t="e">
        <f t="shared" si="36"/>
        <v>#DIV/0!</v>
      </c>
      <c r="N213" s="17">
        <f t="shared" si="37"/>
        <v>0</v>
      </c>
      <c r="O213" s="30"/>
      <c r="P213" s="55"/>
      <c r="Q213" s="32"/>
      <c r="R213" s="30"/>
      <c r="S213" s="55"/>
      <c r="T213" s="32"/>
    </row>
    <row r="214" spans="1:21" ht="16.5" hidden="1">
      <c r="A214" s="114" t="s">
        <v>286</v>
      </c>
      <c r="B214" s="115" t="s">
        <v>287</v>
      </c>
      <c r="C214" s="30">
        <v>0</v>
      </c>
      <c r="D214" s="30">
        <v>0</v>
      </c>
      <c r="E214" s="30">
        <v>0</v>
      </c>
      <c r="F214" s="30">
        <v>0</v>
      </c>
      <c r="G214" s="30">
        <v>0</v>
      </c>
      <c r="H214" s="30">
        <f t="shared" si="39"/>
        <v>0</v>
      </c>
      <c r="I214" s="107">
        <f>G214/G216</f>
        <v>0</v>
      </c>
      <c r="J214" s="55">
        <v>0</v>
      </c>
      <c r="K214" s="32" t="e">
        <f>IF(#REF!=0,"0,0%",J214/#REF!)</f>
        <v>#REF!</v>
      </c>
      <c r="L214" s="21">
        <f t="shared" si="35"/>
        <v>0</v>
      </c>
      <c r="M214" s="22" t="e">
        <f t="shared" si="36"/>
        <v>#DIV/0!</v>
      </c>
      <c r="N214" s="17">
        <f t="shared" si="37"/>
        <v>0</v>
      </c>
      <c r="O214" s="30"/>
      <c r="P214" s="55"/>
      <c r="Q214" s="32"/>
      <c r="R214" s="30"/>
      <c r="S214" s="55"/>
      <c r="T214" s="32"/>
    </row>
    <row r="215" spans="1:21" s="61" customFormat="1" ht="33">
      <c r="A215" s="51">
        <v>2330530</v>
      </c>
      <c r="B215" s="135" t="s">
        <v>288</v>
      </c>
      <c r="C215" s="55">
        <f>C216+C217+C218+C219</f>
        <v>8100.4999999999991</v>
      </c>
      <c r="D215" s="55">
        <f>D216+D217+D218+D219</f>
        <v>4989.2</v>
      </c>
      <c r="E215" s="55">
        <f>E216+E217+E218+E219</f>
        <v>10540.7</v>
      </c>
      <c r="F215" s="55">
        <f>F216+F217+F218+F219</f>
        <v>7885.4</v>
      </c>
      <c r="G215" s="55">
        <f>G216+G217+G218+G219</f>
        <v>10540.7</v>
      </c>
      <c r="H215" s="48">
        <f t="shared" si="39"/>
        <v>0</v>
      </c>
      <c r="I215" s="107">
        <f>G215/G297</f>
        <v>1.70887779254888E-2</v>
      </c>
      <c r="J215" s="48">
        <f>J216+J217+J218+J219</f>
        <v>7500.2</v>
      </c>
      <c r="K215" s="20" t="e">
        <f>IF(#REF!=0,"0,0%",J215/#REF!)</f>
        <v>#REF!</v>
      </c>
      <c r="L215" s="21">
        <f t="shared" si="35"/>
        <v>0</v>
      </c>
      <c r="M215" s="158">
        <f t="shared" si="36"/>
        <v>1</v>
      </c>
      <c r="N215" s="17">
        <f t="shared" si="37"/>
        <v>2655.3000000000011</v>
      </c>
      <c r="O215" s="48">
        <f>O216+O217</f>
        <v>7651.2000000000007</v>
      </c>
      <c r="P215" s="48">
        <f>P216+P217</f>
        <v>5196.4000000000005</v>
      </c>
      <c r="Q215" s="20">
        <f t="shared" si="28"/>
        <v>0.67916143872856549</v>
      </c>
      <c r="R215" s="48">
        <f>R216+R217</f>
        <v>7945.7</v>
      </c>
      <c r="S215" s="48">
        <f>S216+S217</f>
        <v>6020.4</v>
      </c>
      <c r="T215" s="20">
        <f t="shared" si="29"/>
        <v>0.75769284015253535</v>
      </c>
    </row>
    <row r="216" spans="1:21" ht="16.5" hidden="1">
      <c r="A216" s="132"/>
      <c r="B216" s="135" t="s">
        <v>276</v>
      </c>
      <c r="C216" s="156">
        <f>7827.7+184.4</f>
        <v>8012.0999999999995</v>
      </c>
      <c r="D216" s="156">
        <f>4926.7</f>
        <v>4926.7</v>
      </c>
      <c r="E216" s="157">
        <f>5054.8+4918+32.7+35.2</f>
        <v>10040.700000000001</v>
      </c>
      <c r="F216" s="55">
        <v>7827.7</v>
      </c>
      <c r="G216" s="157">
        <f>4918+5054.8+32.7+35.2</f>
        <v>10040.700000000001</v>
      </c>
      <c r="H216" s="137">
        <f t="shared" si="39"/>
        <v>0</v>
      </c>
      <c r="I216" s="107">
        <f>G216/G297</f>
        <v>1.6278168671573556E-2</v>
      </c>
      <c r="J216" s="55">
        <f>5900+1600.2</f>
        <v>7500.2</v>
      </c>
      <c r="K216" s="32" t="e">
        <f>IF(#REF!=0,"0,0%",J216/#REF!)</f>
        <v>#REF!</v>
      </c>
      <c r="L216" s="21">
        <f t="shared" si="35"/>
        <v>0</v>
      </c>
      <c r="M216" s="158">
        <f t="shared" si="36"/>
        <v>1</v>
      </c>
      <c r="N216" s="17">
        <f t="shared" si="37"/>
        <v>2213.0000000000009</v>
      </c>
      <c r="O216" s="30">
        <v>7545.6</v>
      </c>
      <c r="P216" s="55">
        <f>(7245.6/12*8)+300</f>
        <v>5130.4000000000005</v>
      </c>
      <c r="Q216" s="32">
        <f t="shared" si="28"/>
        <v>0.67991942324003396</v>
      </c>
      <c r="R216" s="30">
        <v>7834.8</v>
      </c>
      <c r="S216" s="55">
        <f>(7534.8/12*9)+300</f>
        <v>5951.0999999999995</v>
      </c>
      <c r="T216" s="32">
        <f t="shared" si="29"/>
        <v>0.75957267575432674</v>
      </c>
    </row>
    <row r="217" spans="1:21" ht="33" hidden="1">
      <c r="A217" s="51"/>
      <c r="B217" s="135" t="s">
        <v>289</v>
      </c>
      <c r="C217" s="55">
        <f>57.7+30.7</f>
        <v>88.4</v>
      </c>
      <c r="D217" s="55">
        <v>62.5</v>
      </c>
      <c r="E217" s="55">
        <v>0</v>
      </c>
      <c r="F217" s="55">
        <v>57.7</v>
      </c>
      <c r="G217" s="55">
        <v>0</v>
      </c>
      <c r="H217" s="55">
        <f t="shared" si="39"/>
        <v>0</v>
      </c>
      <c r="I217" s="107">
        <f>G217/G219</f>
        <v>0</v>
      </c>
      <c r="J217" s="55">
        <v>0</v>
      </c>
      <c r="K217" s="32" t="e">
        <f>IF(#REF!=0,"0,0%",J217/#REF!)</f>
        <v>#REF!</v>
      </c>
      <c r="L217" s="21">
        <f t="shared" si="35"/>
        <v>0</v>
      </c>
      <c r="M217" s="158">
        <v>0</v>
      </c>
      <c r="N217" s="17">
        <f t="shared" si="37"/>
        <v>-57.7</v>
      </c>
      <c r="O217" s="55">
        <v>105.6</v>
      </c>
      <c r="P217" s="55">
        <v>66</v>
      </c>
      <c r="Q217" s="32">
        <f t="shared" si="28"/>
        <v>0.625</v>
      </c>
      <c r="R217" s="55">
        <v>110.9</v>
      </c>
      <c r="S217" s="55">
        <v>69.3</v>
      </c>
      <c r="T217" s="32">
        <f t="shared" si="29"/>
        <v>0.62488728584310183</v>
      </c>
    </row>
    <row r="218" spans="1:21" ht="16.5" hidden="1">
      <c r="A218" s="51" t="s">
        <v>290</v>
      </c>
      <c r="B218" s="135" t="s">
        <v>291</v>
      </c>
      <c r="C218" s="55">
        <v>0</v>
      </c>
      <c r="D218" s="55">
        <v>0</v>
      </c>
      <c r="E218" s="55">
        <v>0</v>
      </c>
      <c r="F218" s="55">
        <v>0</v>
      </c>
      <c r="G218" s="55">
        <v>0</v>
      </c>
      <c r="H218" s="55">
        <f t="shared" si="39"/>
        <v>0</v>
      </c>
      <c r="I218" s="107" t="e">
        <f>G218/G220</f>
        <v>#DIV/0!</v>
      </c>
      <c r="J218" s="55">
        <v>0</v>
      </c>
      <c r="K218" s="32" t="e">
        <f>IF(#REF!=0,"0,0%",J218/#REF!)</f>
        <v>#REF!</v>
      </c>
      <c r="L218" s="21">
        <f t="shared" si="35"/>
        <v>0</v>
      </c>
      <c r="M218" s="158" t="e">
        <f t="shared" si="36"/>
        <v>#DIV/0!</v>
      </c>
      <c r="N218" s="17">
        <f t="shared" si="37"/>
        <v>0</v>
      </c>
      <c r="O218" s="55"/>
      <c r="P218" s="55"/>
      <c r="Q218" s="32"/>
      <c r="R218" s="55"/>
      <c r="S218" s="55"/>
      <c r="T218" s="32"/>
    </row>
    <row r="219" spans="1:21" ht="16.5" hidden="1">
      <c r="A219" s="51">
        <v>5210638</v>
      </c>
      <c r="B219" s="135" t="s">
        <v>292</v>
      </c>
      <c r="C219" s="55">
        <v>0</v>
      </c>
      <c r="D219" s="55">
        <v>0</v>
      </c>
      <c r="E219" s="55">
        <v>500</v>
      </c>
      <c r="F219" s="55">
        <v>0</v>
      </c>
      <c r="G219" s="55">
        <v>500</v>
      </c>
      <c r="H219" s="55">
        <f t="shared" si="39"/>
        <v>0</v>
      </c>
      <c r="I219" s="107">
        <f>G219/G297</f>
        <v>8.1060925391524268E-4</v>
      </c>
      <c r="J219" s="55">
        <v>0</v>
      </c>
      <c r="K219" s="32" t="e">
        <f>IF(#REF!=0,"0,0%",J219/#REF!)</f>
        <v>#REF!</v>
      </c>
      <c r="L219" s="21">
        <f t="shared" si="35"/>
        <v>0</v>
      </c>
      <c r="M219" s="158">
        <f t="shared" si="36"/>
        <v>1</v>
      </c>
      <c r="N219" s="17">
        <f t="shared" si="37"/>
        <v>500</v>
      </c>
      <c r="O219" s="55"/>
      <c r="P219" s="55"/>
      <c r="Q219" s="32"/>
      <c r="R219" s="55"/>
      <c r="S219" s="55"/>
      <c r="T219" s="32"/>
    </row>
    <row r="220" spans="1:21" ht="16.5" hidden="1">
      <c r="A220" s="51"/>
      <c r="B220" s="138" t="s">
        <v>207</v>
      </c>
      <c r="C220" s="55"/>
      <c r="D220" s="55"/>
      <c r="E220" s="55"/>
      <c r="F220" s="55"/>
      <c r="G220" s="55"/>
      <c r="H220" s="55"/>
      <c r="I220" s="107" t="e">
        <f>G220/G222</f>
        <v>#DIV/0!</v>
      </c>
      <c r="J220" s="55"/>
      <c r="K220" s="32"/>
      <c r="L220" s="21">
        <f t="shared" si="35"/>
        <v>0</v>
      </c>
      <c r="M220" s="158" t="e">
        <f t="shared" si="36"/>
        <v>#DIV/0!</v>
      </c>
      <c r="N220" s="17">
        <f t="shared" si="37"/>
        <v>0</v>
      </c>
      <c r="O220" s="55"/>
      <c r="P220" s="55"/>
      <c r="Q220" s="32"/>
      <c r="R220" s="55"/>
      <c r="S220" s="55"/>
      <c r="T220" s="32"/>
    </row>
    <row r="221" spans="1:21" ht="82.5">
      <c r="A221" s="51">
        <v>7950900</v>
      </c>
      <c r="B221" s="135" t="s">
        <v>293</v>
      </c>
      <c r="C221" s="55">
        <f t="shared" ref="C221:J221" si="40">C222</f>
        <v>108.1</v>
      </c>
      <c r="D221" s="55">
        <f t="shared" si="40"/>
        <v>43.6</v>
      </c>
      <c r="E221" s="55">
        <f t="shared" si="40"/>
        <v>0</v>
      </c>
      <c r="F221" s="55">
        <f t="shared" si="40"/>
        <v>108.1</v>
      </c>
      <c r="G221" s="55">
        <f t="shared" si="40"/>
        <v>0</v>
      </c>
      <c r="H221" s="48">
        <f t="shared" si="39"/>
        <v>0</v>
      </c>
      <c r="I221" s="107">
        <f>G221/G297</f>
        <v>0</v>
      </c>
      <c r="J221" s="48">
        <f t="shared" si="40"/>
        <v>0</v>
      </c>
      <c r="K221" s="20" t="e">
        <f>IF(#REF!=0,"0,0%",J221/#REF!)</f>
        <v>#REF!</v>
      </c>
      <c r="L221" s="21">
        <f t="shared" si="35"/>
        <v>0</v>
      </c>
      <c r="M221" s="158">
        <v>0</v>
      </c>
      <c r="N221" s="17">
        <f t="shared" si="37"/>
        <v>-108.1</v>
      </c>
      <c r="O221" s="48">
        <v>0</v>
      </c>
      <c r="P221" s="48">
        <v>0</v>
      </c>
      <c r="Q221" s="20" t="str">
        <f t="shared" si="28"/>
        <v>0,0%</v>
      </c>
      <c r="R221" s="48">
        <v>0</v>
      </c>
      <c r="S221" s="48">
        <v>0</v>
      </c>
      <c r="T221" s="20" t="str">
        <f t="shared" si="29"/>
        <v>0,0%</v>
      </c>
    </row>
    <row r="222" spans="1:21" ht="16.5" hidden="1">
      <c r="A222" s="132"/>
      <c r="B222" s="135" t="s">
        <v>220</v>
      </c>
      <c r="C222" s="55">
        <v>108.1</v>
      </c>
      <c r="D222" s="55">
        <v>43.6</v>
      </c>
      <c r="E222" s="55">
        <v>0</v>
      </c>
      <c r="F222" s="55">
        <v>108.1</v>
      </c>
      <c r="G222" s="55">
        <v>0</v>
      </c>
      <c r="H222" s="55">
        <f t="shared" si="39"/>
        <v>0</v>
      </c>
      <c r="I222" s="107">
        <f>G222/G297</f>
        <v>0</v>
      </c>
      <c r="J222" s="30">
        <v>0</v>
      </c>
      <c r="K222" s="32" t="e">
        <f>IF(#REF!=0,"0,0%",J222/#REF!)</f>
        <v>#REF!</v>
      </c>
      <c r="L222" s="21">
        <f t="shared" si="35"/>
        <v>0</v>
      </c>
      <c r="M222" s="158">
        <v>0</v>
      </c>
      <c r="N222" s="17">
        <f t="shared" si="37"/>
        <v>-108.1</v>
      </c>
      <c r="O222" s="55">
        <v>0</v>
      </c>
      <c r="P222" s="30">
        <v>0</v>
      </c>
      <c r="Q222" s="32" t="str">
        <f t="shared" si="28"/>
        <v>0,0%</v>
      </c>
      <c r="R222" s="55">
        <v>0</v>
      </c>
      <c r="S222" s="30">
        <v>0</v>
      </c>
      <c r="T222" s="32" t="str">
        <f t="shared" si="29"/>
        <v>0,0%</v>
      </c>
    </row>
    <row r="223" spans="1:21" ht="33">
      <c r="A223" s="51">
        <v>7950100</v>
      </c>
      <c r="B223" s="135" t="s">
        <v>294</v>
      </c>
      <c r="C223" s="55">
        <f t="shared" ref="C223:S223" si="41">C224</f>
        <v>240</v>
      </c>
      <c r="D223" s="55">
        <f t="shared" si="41"/>
        <v>5332.6</v>
      </c>
      <c r="E223" s="55">
        <f t="shared" si="41"/>
        <v>219.3</v>
      </c>
      <c r="F223" s="55">
        <f t="shared" si="41"/>
        <v>240</v>
      </c>
      <c r="G223" s="55">
        <f t="shared" si="41"/>
        <v>219.3</v>
      </c>
      <c r="H223" s="48">
        <f t="shared" si="39"/>
        <v>0</v>
      </c>
      <c r="I223" s="107">
        <f>G223/G297</f>
        <v>3.5553321876722547E-4</v>
      </c>
      <c r="J223" s="48">
        <f t="shared" si="41"/>
        <v>0</v>
      </c>
      <c r="K223" s="20" t="e">
        <f>IF(#REF!=0,"0,0%",J223/#REF!)</f>
        <v>#REF!</v>
      </c>
      <c r="L223" s="21">
        <f t="shared" si="35"/>
        <v>0</v>
      </c>
      <c r="M223" s="158">
        <f t="shared" si="36"/>
        <v>1</v>
      </c>
      <c r="N223" s="17">
        <f t="shared" si="37"/>
        <v>-20.699999999999989</v>
      </c>
      <c r="O223" s="48">
        <f t="shared" si="41"/>
        <v>0</v>
      </c>
      <c r="P223" s="48">
        <f t="shared" si="41"/>
        <v>0</v>
      </c>
      <c r="Q223" s="20" t="str">
        <f t="shared" si="28"/>
        <v>0,0%</v>
      </c>
      <c r="R223" s="48">
        <f t="shared" si="41"/>
        <v>0</v>
      </c>
      <c r="S223" s="48">
        <f t="shared" si="41"/>
        <v>0</v>
      </c>
      <c r="T223" s="20" t="str">
        <f t="shared" si="29"/>
        <v>0,0%</v>
      </c>
    </row>
    <row r="224" spans="1:21" ht="16.5" hidden="1">
      <c r="A224" s="132"/>
      <c r="B224" s="135" t="s">
        <v>220</v>
      </c>
      <c r="C224" s="55">
        <v>240</v>
      </c>
      <c r="D224" s="55">
        <v>5332.6</v>
      </c>
      <c r="E224" s="55">
        <v>219.3</v>
      </c>
      <c r="F224" s="55">
        <v>240</v>
      </c>
      <c r="G224" s="55">
        <v>219.3</v>
      </c>
      <c r="H224" s="55">
        <f t="shared" si="39"/>
        <v>0</v>
      </c>
      <c r="I224" s="107">
        <f>G224/G297</f>
        <v>3.5553321876722547E-4</v>
      </c>
      <c r="J224" s="55">
        <v>0</v>
      </c>
      <c r="K224" s="32" t="e">
        <f>IF(#REF!=0,"0,0%",J224/#REF!)</f>
        <v>#REF!</v>
      </c>
      <c r="L224" s="21">
        <f t="shared" si="35"/>
        <v>0</v>
      </c>
      <c r="M224" s="158">
        <f t="shared" si="36"/>
        <v>1</v>
      </c>
      <c r="N224" s="17">
        <f t="shared" si="37"/>
        <v>-20.699999999999989</v>
      </c>
      <c r="O224" s="55">
        <v>0</v>
      </c>
      <c r="P224" s="55">
        <v>0</v>
      </c>
      <c r="Q224" s="32" t="str">
        <f t="shared" si="28"/>
        <v>0,0%</v>
      </c>
      <c r="R224" s="55">
        <v>0</v>
      </c>
      <c r="S224" s="55">
        <v>0</v>
      </c>
      <c r="T224" s="32" t="str">
        <f t="shared" si="29"/>
        <v>0,0%</v>
      </c>
    </row>
    <row r="225" spans="1:20" ht="16.5" hidden="1">
      <c r="A225" s="132"/>
      <c r="B225" s="138" t="s">
        <v>207</v>
      </c>
      <c r="C225" s="55"/>
      <c r="D225" s="55"/>
      <c r="E225" s="55"/>
      <c r="F225" s="55"/>
      <c r="G225" s="55"/>
      <c r="H225" s="55"/>
      <c r="I225" s="107" t="e">
        <f>G225/G227</f>
        <v>#DIV/0!</v>
      </c>
      <c r="J225" s="55"/>
      <c r="K225" s="32"/>
      <c r="L225" s="21">
        <f t="shared" si="35"/>
        <v>0</v>
      </c>
      <c r="M225" s="158" t="e">
        <f t="shared" si="36"/>
        <v>#DIV/0!</v>
      </c>
      <c r="N225" s="17">
        <f t="shared" si="37"/>
        <v>0</v>
      </c>
      <c r="O225" s="55"/>
      <c r="P225" s="55"/>
      <c r="Q225" s="32"/>
      <c r="R225" s="55"/>
      <c r="S225" s="55"/>
      <c r="T225" s="32"/>
    </row>
    <row r="226" spans="1:20" ht="66">
      <c r="A226" s="51">
        <v>7950800</v>
      </c>
      <c r="B226" s="135" t="s">
        <v>260</v>
      </c>
      <c r="C226" s="55">
        <f t="shared" ref="C226:S226" si="42">C227</f>
        <v>150</v>
      </c>
      <c r="D226" s="55">
        <f t="shared" si="42"/>
        <v>150</v>
      </c>
      <c r="E226" s="55">
        <f t="shared" si="42"/>
        <v>0</v>
      </c>
      <c r="F226" s="55">
        <f t="shared" si="42"/>
        <v>150</v>
      </c>
      <c r="G226" s="55">
        <f t="shared" si="42"/>
        <v>0</v>
      </c>
      <c r="H226" s="48">
        <f t="shared" si="39"/>
        <v>0</v>
      </c>
      <c r="I226" s="107">
        <f>G226/G297</f>
        <v>0</v>
      </c>
      <c r="J226" s="48">
        <f t="shared" si="42"/>
        <v>0</v>
      </c>
      <c r="K226" s="20" t="e">
        <f>IF(#REF!=0,"0,0%",J226/#REF!)</f>
        <v>#REF!</v>
      </c>
      <c r="L226" s="21">
        <f t="shared" si="35"/>
        <v>0</v>
      </c>
      <c r="M226" s="158">
        <v>0</v>
      </c>
      <c r="N226" s="17">
        <f t="shared" si="37"/>
        <v>-150</v>
      </c>
      <c r="O226" s="48">
        <f t="shared" si="42"/>
        <v>150</v>
      </c>
      <c r="P226" s="48">
        <f t="shared" si="42"/>
        <v>150</v>
      </c>
      <c r="Q226" s="20">
        <f t="shared" si="28"/>
        <v>1</v>
      </c>
      <c r="R226" s="48">
        <f t="shared" si="42"/>
        <v>150</v>
      </c>
      <c r="S226" s="48">
        <f t="shared" si="42"/>
        <v>150</v>
      </c>
      <c r="T226" s="20">
        <f t="shared" si="29"/>
        <v>1</v>
      </c>
    </row>
    <row r="227" spans="1:20" ht="16.5" hidden="1">
      <c r="A227" s="132"/>
      <c r="B227" s="135" t="s">
        <v>220</v>
      </c>
      <c r="C227" s="55">
        <v>150</v>
      </c>
      <c r="D227" s="55">
        <v>150</v>
      </c>
      <c r="E227" s="55">
        <v>0</v>
      </c>
      <c r="F227" s="55">
        <v>150</v>
      </c>
      <c r="G227" s="55">
        <v>0</v>
      </c>
      <c r="H227" s="55">
        <f t="shared" si="39"/>
        <v>0</v>
      </c>
      <c r="I227" s="107">
        <f>G227/G297</f>
        <v>0</v>
      </c>
      <c r="J227" s="30">
        <v>0</v>
      </c>
      <c r="K227" s="32" t="e">
        <f>IF(#REF!=0,"0,0%",J227/#REF!)</f>
        <v>#REF!</v>
      </c>
      <c r="L227" s="21">
        <f t="shared" si="35"/>
        <v>0</v>
      </c>
      <c r="M227" s="158">
        <v>0</v>
      </c>
      <c r="N227" s="17">
        <f t="shared" si="37"/>
        <v>-150</v>
      </c>
      <c r="O227" s="55">
        <v>150</v>
      </c>
      <c r="P227" s="30">
        <v>150</v>
      </c>
      <c r="Q227" s="32">
        <f t="shared" si="28"/>
        <v>1</v>
      </c>
      <c r="R227" s="55">
        <v>150</v>
      </c>
      <c r="S227" s="30">
        <v>150</v>
      </c>
      <c r="T227" s="32">
        <f t="shared" si="29"/>
        <v>1</v>
      </c>
    </row>
    <row r="228" spans="1:20" ht="33">
      <c r="A228" s="132" t="s">
        <v>295</v>
      </c>
      <c r="B228" s="52" t="s">
        <v>296</v>
      </c>
      <c r="C228" s="55">
        <f>C229+C232+C234</f>
        <v>11535.7</v>
      </c>
      <c r="D228" s="55">
        <f>D229+D232+D234</f>
        <v>14183.800000000001</v>
      </c>
      <c r="E228" s="55">
        <f>E229+E232+E234+E233</f>
        <v>16068.5</v>
      </c>
      <c r="F228" s="55">
        <f>F229+F232+F234</f>
        <v>11535.7</v>
      </c>
      <c r="G228" s="55">
        <f>G229+G232+G234+G233</f>
        <v>15000</v>
      </c>
      <c r="H228" s="60">
        <f t="shared" si="39"/>
        <v>1068.5</v>
      </c>
      <c r="I228" s="107">
        <f>G228/G297</f>
        <v>2.4318277617457282E-2</v>
      </c>
      <c r="J228" s="60">
        <f>J229+J232+J234</f>
        <v>0</v>
      </c>
      <c r="K228" s="20" t="e">
        <f>IF(#REF!=0,"0,0%",J228/#REF!)</f>
        <v>#REF!</v>
      </c>
      <c r="L228" s="21">
        <f t="shared" si="35"/>
        <v>-1068.5</v>
      </c>
      <c r="M228" s="158">
        <f t="shared" si="36"/>
        <v>0.93350343840433148</v>
      </c>
      <c r="N228" s="17">
        <f t="shared" si="37"/>
        <v>3464.2999999999993</v>
      </c>
      <c r="O228" s="60">
        <f>O229</f>
        <v>15952</v>
      </c>
      <c r="P228" s="60">
        <f>P229</f>
        <v>14940.9</v>
      </c>
      <c r="Q228" s="20">
        <f t="shared" si="28"/>
        <v>0.93661609829488468</v>
      </c>
      <c r="R228" s="60">
        <f>R229</f>
        <v>16751.400000000001</v>
      </c>
      <c r="S228" s="60">
        <f>S229</f>
        <v>15690</v>
      </c>
      <c r="T228" s="20">
        <f t="shared" si="29"/>
        <v>0.93663813173824273</v>
      </c>
    </row>
    <row r="229" spans="1:20" ht="33" hidden="1">
      <c r="A229" s="114"/>
      <c r="B229" s="159" t="s">
        <v>297</v>
      </c>
      <c r="C229" s="41">
        <f>C230+C231</f>
        <v>11535.7</v>
      </c>
      <c r="D229" s="41">
        <f>D230+D231</f>
        <v>14183.800000000001</v>
      </c>
      <c r="E229" s="41">
        <f t="shared" ref="E229:J229" si="43">E230+E231</f>
        <v>7001.0999999999995</v>
      </c>
      <c r="F229" s="41">
        <f>F230+F231</f>
        <v>11535.7</v>
      </c>
      <c r="G229" s="41">
        <f t="shared" si="43"/>
        <v>7001.0999999999995</v>
      </c>
      <c r="H229" s="41">
        <f t="shared" si="39"/>
        <v>0</v>
      </c>
      <c r="I229" s="107">
        <f>G229/G297</f>
        <v>1.1350312895172011E-2</v>
      </c>
      <c r="J229" s="41">
        <f t="shared" si="43"/>
        <v>0</v>
      </c>
      <c r="K229" s="32" t="e">
        <f>IF(#REF!=0,"0,0%",J229/#REF!)</f>
        <v>#REF!</v>
      </c>
      <c r="L229" s="21">
        <f t="shared" si="35"/>
        <v>0</v>
      </c>
      <c r="M229" s="22">
        <f t="shared" si="36"/>
        <v>1</v>
      </c>
      <c r="N229" s="17">
        <f t="shared" si="37"/>
        <v>-4534.6000000000013</v>
      </c>
      <c r="O229" s="41">
        <f>O230+O231</f>
        <v>15952</v>
      </c>
      <c r="P229" s="41">
        <f>P230+P231</f>
        <v>14940.9</v>
      </c>
      <c r="Q229" s="32">
        <f t="shared" si="28"/>
        <v>0.93661609829488468</v>
      </c>
      <c r="R229" s="41">
        <f>R230+R231</f>
        <v>16751.400000000001</v>
      </c>
      <c r="S229" s="41">
        <f>S230+S231</f>
        <v>15690</v>
      </c>
      <c r="T229" s="32">
        <f t="shared" si="29"/>
        <v>0.93663813173824273</v>
      </c>
    </row>
    <row r="230" spans="1:20" ht="16.5" hidden="1">
      <c r="A230" s="114" t="s">
        <v>298</v>
      </c>
      <c r="B230" s="115" t="s">
        <v>116</v>
      </c>
      <c r="C230" s="30">
        <v>11096.7</v>
      </c>
      <c r="D230" s="30">
        <v>13436.2</v>
      </c>
      <c r="E230" s="30">
        <v>6714.4</v>
      </c>
      <c r="F230" s="30">
        <v>11096.7</v>
      </c>
      <c r="G230" s="30">
        <v>6714.4</v>
      </c>
      <c r="H230" s="30">
        <f t="shared" si="39"/>
        <v>0</v>
      </c>
      <c r="I230" s="107">
        <f>G230/G297</f>
        <v>1.0885509548977011E-2</v>
      </c>
      <c r="J230" s="30">
        <v>0</v>
      </c>
      <c r="K230" s="32" t="e">
        <f>IF(#REF!=0,"0,0%",J230/#REF!)</f>
        <v>#REF!</v>
      </c>
      <c r="L230" s="21">
        <f t="shared" si="35"/>
        <v>0</v>
      </c>
      <c r="M230" s="22">
        <f t="shared" si="36"/>
        <v>1</v>
      </c>
      <c r="N230" s="17">
        <f t="shared" si="37"/>
        <v>-4382.3000000000011</v>
      </c>
      <c r="O230" s="30">
        <v>15166.1</v>
      </c>
      <c r="P230" s="30">
        <v>14155</v>
      </c>
      <c r="Q230" s="32">
        <f t="shared" si="28"/>
        <v>0.93333157502588004</v>
      </c>
      <c r="R230" s="30">
        <v>15921</v>
      </c>
      <c r="S230" s="30">
        <v>14859.6</v>
      </c>
      <c r="T230" s="32">
        <f t="shared" si="29"/>
        <v>0.93333333333333335</v>
      </c>
    </row>
    <row r="231" spans="1:20" ht="16.5" hidden="1">
      <c r="A231" s="114"/>
      <c r="B231" s="115" t="s">
        <v>122</v>
      </c>
      <c r="C231" s="30">
        <v>439</v>
      </c>
      <c r="D231" s="30">
        <v>747.6</v>
      </c>
      <c r="E231" s="30">
        <v>286.7</v>
      </c>
      <c r="F231" s="30">
        <v>439</v>
      </c>
      <c r="G231" s="30">
        <v>286.7</v>
      </c>
      <c r="H231" s="30">
        <f t="shared" si="39"/>
        <v>0</v>
      </c>
      <c r="I231" s="107">
        <f>G231/G297</f>
        <v>4.6480334619500015E-4</v>
      </c>
      <c r="J231" s="30">
        <v>0</v>
      </c>
      <c r="K231" s="32" t="e">
        <f>IF(#REF!=0,"0,0%",J231/#REF!)</f>
        <v>#REF!</v>
      </c>
      <c r="L231" s="21">
        <f t="shared" si="35"/>
        <v>0</v>
      </c>
      <c r="M231" s="22">
        <f t="shared" si="36"/>
        <v>1</v>
      </c>
      <c r="N231" s="17">
        <f t="shared" si="37"/>
        <v>-152.30000000000001</v>
      </c>
      <c r="O231" s="30">
        <v>785.9</v>
      </c>
      <c r="P231" s="30">
        <v>785.9</v>
      </c>
      <c r="Q231" s="32">
        <f t="shared" si="28"/>
        <v>1</v>
      </c>
      <c r="R231" s="30">
        <v>830.4</v>
      </c>
      <c r="S231" s="30">
        <v>830.4</v>
      </c>
      <c r="T231" s="32">
        <f t="shared" si="29"/>
        <v>1</v>
      </c>
    </row>
    <row r="232" spans="1:20" ht="16.5" hidden="1">
      <c r="A232" s="114" t="s">
        <v>299</v>
      </c>
      <c r="B232" s="115" t="s">
        <v>300</v>
      </c>
      <c r="C232" s="30">
        <v>0</v>
      </c>
      <c r="D232" s="30">
        <v>0</v>
      </c>
      <c r="E232" s="30">
        <v>0</v>
      </c>
      <c r="F232" s="30">
        <v>0</v>
      </c>
      <c r="G232" s="30">
        <v>0</v>
      </c>
      <c r="H232" s="30">
        <f t="shared" si="39"/>
        <v>0</v>
      </c>
      <c r="I232" s="107">
        <f>G232/G235</f>
        <v>0</v>
      </c>
      <c r="J232" s="30">
        <v>0</v>
      </c>
      <c r="K232" s="32" t="e">
        <f>IF(#REF!=0,"0,0%",J232/#REF!)</f>
        <v>#REF!</v>
      </c>
      <c r="L232" s="21">
        <f t="shared" si="35"/>
        <v>0</v>
      </c>
      <c r="M232" s="22" t="e">
        <f t="shared" si="36"/>
        <v>#DIV/0!</v>
      </c>
      <c r="N232" s="17">
        <f t="shared" si="37"/>
        <v>0</v>
      </c>
      <c r="O232" s="30"/>
      <c r="P232" s="30"/>
      <c r="Q232" s="32"/>
      <c r="R232" s="30"/>
      <c r="S232" s="30"/>
      <c r="T232" s="32"/>
    </row>
    <row r="233" spans="1:20" ht="16.5" hidden="1">
      <c r="A233" s="114"/>
      <c r="B233" s="115" t="s">
        <v>301</v>
      </c>
      <c r="C233" s="30"/>
      <c r="D233" s="30">
        <v>0</v>
      </c>
      <c r="E233" s="30">
        <v>8552.1</v>
      </c>
      <c r="F233" s="30">
        <v>0</v>
      </c>
      <c r="G233" s="30">
        <v>7527.6</v>
      </c>
      <c r="H233" s="30">
        <f t="shared" si="39"/>
        <v>1024.5</v>
      </c>
      <c r="I233" s="107"/>
      <c r="J233" s="30"/>
      <c r="K233" s="32"/>
      <c r="L233" s="21">
        <f t="shared" si="35"/>
        <v>-1024.5</v>
      </c>
      <c r="M233" s="22">
        <f t="shared" si="36"/>
        <v>0.88020486196372816</v>
      </c>
      <c r="N233" s="17"/>
      <c r="O233" s="30"/>
      <c r="P233" s="30"/>
      <c r="Q233" s="32"/>
      <c r="R233" s="30"/>
      <c r="S233" s="30"/>
      <c r="T233" s="32"/>
    </row>
    <row r="234" spans="1:20" ht="16.5" hidden="1">
      <c r="A234" s="114" t="s">
        <v>302</v>
      </c>
      <c r="B234" s="115" t="s">
        <v>303</v>
      </c>
      <c r="C234" s="30">
        <v>0</v>
      </c>
      <c r="D234" s="30">
        <v>0</v>
      </c>
      <c r="E234" s="30">
        <v>515.29999999999995</v>
      </c>
      <c r="F234" s="30">
        <v>0</v>
      </c>
      <c r="G234" s="30">
        <v>471.3</v>
      </c>
      <c r="H234" s="30">
        <f t="shared" si="39"/>
        <v>43.999999999999943</v>
      </c>
      <c r="I234" s="107">
        <f>G234/G297</f>
        <v>7.6408028274050775E-4</v>
      </c>
      <c r="J234" s="30">
        <v>0</v>
      </c>
      <c r="K234" s="32" t="e">
        <f>IF(#REF!=0,"0,0%",J234/#REF!)</f>
        <v>#REF!</v>
      </c>
      <c r="L234" s="21">
        <f t="shared" si="35"/>
        <v>-43.999999999999943</v>
      </c>
      <c r="M234" s="22">
        <f t="shared" si="36"/>
        <v>0.91461284688530964</v>
      </c>
      <c r="N234" s="17">
        <f t="shared" si="37"/>
        <v>471.3</v>
      </c>
      <c r="O234" s="30"/>
      <c r="P234" s="30"/>
      <c r="Q234" s="32"/>
      <c r="R234" s="30"/>
      <c r="S234" s="30"/>
      <c r="T234" s="32"/>
    </row>
    <row r="235" spans="1:20" s="161" customFormat="1" ht="16.5">
      <c r="A235" s="108" t="s">
        <v>304</v>
      </c>
      <c r="B235" s="109" t="s">
        <v>305</v>
      </c>
      <c r="C235" s="98">
        <f t="shared" ref="C235:S235" si="44">C236</f>
        <v>13200.7</v>
      </c>
      <c r="D235" s="98">
        <f t="shared" si="44"/>
        <v>18302</v>
      </c>
      <c r="E235" s="98">
        <f t="shared" si="44"/>
        <v>13366.2</v>
      </c>
      <c r="F235" s="98">
        <f t="shared" si="44"/>
        <v>13200.8</v>
      </c>
      <c r="G235" s="98">
        <f t="shared" si="44"/>
        <v>12934.699999999999</v>
      </c>
      <c r="H235" s="60">
        <f t="shared" si="39"/>
        <v>431.50000000000182</v>
      </c>
      <c r="I235" s="107">
        <f>G235/G297</f>
        <v>2.0969975033234979E-2</v>
      </c>
      <c r="J235" s="60" t="e">
        <f>J236</f>
        <v>#REF!</v>
      </c>
      <c r="K235" s="160" t="e">
        <f>IF(#REF!=0,"0,0%",J235/#REF!)</f>
        <v>#REF!</v>
      </c>
      <c r="L235" s="21">
        <f t="shared" si="35"/>
        <v>-431.50000000000182</v>
      </c>
      <c r="M235" s="22">
        <f t="shared" si="36"/>
        <v>0.96771707740419854</v>
      </c>
      <c r="N235" s="17">
        <f t="shared" si="37"/>
        <v>-266.10000000000036</v>
      </c>
      <c r="O235" s="120" t="e">
        <f t="shared" si="44"/>
        <v>#REF!</v>
      </c>
      <c r="P235" s="120" t="e">
        <f t="shared" si="44"/>
        <v>#REF!</v>
      </c>
      <c r="Q235" s="160" t="e">
        <f t="shared" si="28"/>
        <v>#REF!</v>
      </c>
      <c r="R235" s="120" t="e">
        <f t="shared" si="44"/>
        <v>#REF!</v>
      </c>
      <c r="S235" s="120" t="e">
        <f t="shared" si="44"/>
        <v>#REF!</v>
      </c>
      <c r="T235" s="160" t="e">
        <f t="shared" si="29"/>
        <v>#REF!</v>
      </c>
    </row>
    <row r="236" spans="1:20" s="161" customFormat="1" ht="16.5">
      <c r="A236" s="8"/>
      <c r="B236" s="52" t="s">
        <v>306</v>
      </c>
      <c r="C236" s="30">
        <f>C237+C244</f>
        <v>13200.7</v>
      </c>
      <c r="D236" s="30">
        <f>D237+D244</f>
        <v>18302</v>
      </c>
      <c r="E236" s="30">
        <f>E237+E244</f>
        <v>13366.2</v>
      </c>
      <c r="F236" s="30">
        <f>F237+F244</f>
        <v>13200.8</v>
      </c>
      <c r="G236" s="30">
        <f>G237+G244</f>
        <v>12934.699999999999</v>
      </c>
      <c r="H236" s="30">
        <f t="shared" si="39"/>
        <v>431.50000000000182</v>
      </c>
      <c r="I236" s="162">
        <f>G236/G297</f>
        <v>2.0969975033234979E-2</v>
      </c>
      <c r="J236" s="30" t="e">
        <f>J237+J244</f>
        <v>#REF!</v>
      </c>
      <c r="K236" s="155" t="e">
        <f>IF(#REF!=0,"0,0%",J236/#REF!)</f>
        <v>#REF!</v>
      </c>
      <c r="L236" s="163">
        <f t="shared" si="35"/>
        <v>-431.50000000000182</v>
      </c>
      <c r="M236" s="158">
        <f t="shared" si="36"/>
        <v>0.96771707740419854</v>
      </c>
      <c r="N236" s="17">
        <f t="shared" si="37"/>
        <v>-266.10000000000036</v>
      </c>
      <c r="O236" s="120" t="e">
        <f>O237+O244</f>
        <v>#REF!</v>
      </c>
      <c r="P236" s="120" t="e">
        <f>P237+P244</f>
        <v>#REF!</v>
      </c>
      <c r="Q236" s="160" t="e">
        <f t="shared" si="28"/>
        <v>#REF!</v>
      </c>
      <c r="R236" s="120" t="e">
        <f>R237+R244</f>
        <v>#REF!</v>
      </c>
      <c r="S236" s="120" t="e">
        <f>S237+S244</f>
        <v>#REF!</v>
      </c>
      <c r="T236" s="160" t="e">
        <f t="shared" si="29"/>
        <v>#REF!</v>
      </c>
    </row>
    <row r="237" spans="1:20" s="161" customFormat="1" ht="16.5">
      <c r="A237" s="8">
        <v>611</v>
      </c>
      <c r="B237" s="121" t="s">
        <v>138</v>
      </c>
      <c r="C237" s="30">
        <f>SUM(C239:C243)</f>
        <v>8320.9</v>
      </c>
      <c r="D237" s="30">
        <f>SUM(D239:D243)</f>
        <v>10022.9</v>
      </c>
      <c r="E237" s="30">
        <f>SUM(E239:E243)</f>
        <v>8819.7000000000007</v>
      </c>
      <c r="F237" s="30">
        <f>SUM(F239:F243)</f>
        <v>8320.9</v>
      </c>
      <c r="G237" s="30">
        <f>SUM(G239:G243)</f>
        <v>8721.1999999999989</v>
      </c>
      <c r="H237" s="30">
        <f t="shared" si="39"/>
        <v>98.500000000001819</v>
      </c>
      <c r="I237" s="162">
        <f>G237/G297</f>
        <v>1.4138970850491227E-2</v>
      </c>
      <c r="J237" s="30">
        <f>SUM(J239:J243)</f>
        <v>16127.1</v>
      </c>
      <c r="K237" s="155" t="e">
        <f>IF(#REF!=0,"0,0%",J237/#REF!)</f>
        <v>#REF!</v>
      </c>
      <c r="L237" s="163">
        <f t="shared" si="35"/>
        <v>-98.500000000001819</v>
      </c>
      <c r="M237" s="158">
        <f t="shared" si="36"/>
        <v>0.98883181967640599</v>
      </c>
      <c r="N237" s="17">
        <f t="shared" si="37"/>
        <v>400.29999999999927</v>
      </c>
      <c r="O237" s="120" t="e">
        <f>O239+#REF!+#REF!+O240+#REF!+O241+O242+#REF!+O243+#REF!+#REF!</f>
        <v>#REF!</v>
      </c>
      <c r="P237" s="120" t="e">
        <f>P239+#REF!+#REF!+P240+#REF!+P241+P242+#REF!+P243+#REF!+#REF!</f>
        <v>#REF!</v>
      </c>
      <c r="Q237" s="160" t="e">
        <f t="shared" si="28"/>
        <v>#REF!</v>
      </c>
      <c r="R237" s="120" t="e">
        <f>R239+#REF!+#REF!+R240+#REF!+R241+R242+#REF!+R243+#REF!+#REF!</f>
        <v>#REF!</v>
      </c>
      <c r="S237" s="120" t="e">
        <f>S239+#REF!+#REF!+S240+#REF!+S241+S242+#REF!+S243+#REF!+#REF!</f>
        <v>#REF!</v>
      </c>
      <c r="T237" s="160" t="e">
        <f t="shared" si="29"/>
        <v>#REF!</v>
      </c>
    </row>
    <row r="238" spans="1:20" s="161" customFormat="1" ht="16.5" hidden="1">
      <c r="A238" s="8"/>
      <c r="B238" s="52" t="s">
        <v>139</v>
      </c>
      <c r="C238" s="30"/>
      <c r="D238" s="30"/>
      <c r="E238" s="30"/>
      <c r="F238" s="30"/>
      <c r="G238" s="30"/>
      <c r="H238" s="30"/>
      <c r="I238" s="162"/>
      <c r="J238" s="30"/>
      <c r="K238" s="155"/>
      <c r="L238" s="163"/>
      <c r="M238" s="158"/>
      <c r="N238" s="17"/>
      <c r="O238" s="122"/>
      <c r="P238" s="122"/>
      <c r="Q238" s="155"/>
      <c r="R238" s="122"/>
      <c r="S238" s="122"/>
      <c r="T238" s="155"/>
    </row>
    <row r="239" spans="1:20" s="161" customFormat="1" ht="16.5" hidden="1">
      <c r="A239" s="8"/>
      <c r="B239" s="40" t="s">
        <v>307</v>
      </c>
      <c r="C239" s="30">
        <v>7247</v>
      </c>
      <c r="D239" s="30">
        <f>7781.9</f>
        <v>7781.9</v>
      </c>
      <c r="E239" s="30">
        <v>7804.4</v>
      </c>
      <c r="F239" s="30">
        <v>7247</v>
      </c>
      <c r="G239" s="30">
        <v>7804.4</v>
      </c>
      <c r="H239" s="30">
        <f t="shared" si="39"/>
        <v>0</v>
      </c>
      <c r="I239" s="162">
        <f>G239/G297</f>
        <v>1.2652637722512239E-2</v>
      </c>
      <c r="J239" s="30">
        <v>12808.1</v>
      </c>
      <c r="K239" s="155" t="e">
        <f>IF(#REF!=0,"0,0%",J239/#REF!)</f>
        <v>#REF!</v>
      </c>
      <c r="L239" s="163">
        <f t="shared" si="35"/>
        <v>0</v>
      </c>
      <c r="M239" s="158">
        <f t="shared" si="36"/>
        <v>1</v>
      </c>
      <c r="N239" s="17">
        <f t="shared" si="37"/>
        <v>557.39999999999964</v>
      </c>
      <c r="O239" s="122">
        <v>6303.9</v>
      </c>
      <c r="P239" s="122">
        <v>6303.9</v>
      </c>
      <c r="Q239" s="155">
        <f t="shared" si="28"/>
        <v>1</v>
      </c>
      <c r="R239" s="122">
        <v>6622.1</v>
      </c>
      <c r="S239" s="122">
        <v>6622.1</v>
      </c>
      <c r="T239" s="155">
        <f t="shared" si="29"/>
        <v>1</v>
      </c>
    </row>
    <row r="240" spans="1:20" s="161" customFormat="1" ht="16.5" hidden="1">
      <c r="A240" s="8"/>
      <c r="B240" s="40" t="s">
        <v>142</v>
      </c>
      <c r="C240" s="30">
        <v>59.3</v>
      </c>
      <c r="D240" s="30">
        <f>102.6</f>
        <v>102.6</v>
      </c>
      <c r="E240" s="30">
        <v>54.1</v>
      </c>
      <c r="F240" s="30">
        <v>59.3</v>
      </c>
      <c r="G240" s="30">
        <v>54</v>
      </c>
      <c r="H240" s="30">
        <f t="shared" si="39"/>
        <v>0.10000000000000142</v>
      </c>
      <c r="I240" s="162">
        <f>G240/G297</f>
        <v>8.7545799422846215E-5</v>
      </c>
      <c r="J240" s="30">
        <v>127.5</v>
      </c>
      <c r="K240" s="155" t="e">
        <f>IF(#REF!=0,"0,0%",J240/#REF!)</f>
        <v>#REF!</v>
      </c>
      <c r="L240" s="163">
        <f t="shared" si="35"/>
        <v>-0.10000000000000142</v>
      </c>
      <c r="M240" s="158">
        <f t="shared" si="36"/>
        <v>0.99815157116451014</v>
      </c>
      <c r="N240" s="17">
        <f t="shared" si="37"/>
        <v>-5.2999999999999972</v>
      </c>
      <c r="O240" s="122">
        <v>108.3</v>
      </c>
      <c r="P240" s="122">
        <v>108.3</v>
      </c>
      <c r="Q240" s="155">
        <f t="shared" si="28"/>
        <v>1</v>
      </c>
      <c r="R240" s="122">
        <v>113.7</v>
      </c>
      <c r="S240" s="122">
        <v>113.7</v>
      </c>
      <c r="T240" s="155">
        <f t="shared" si="29"/>
        <v>1</v>
      </c>
    </row>
    <row r="241" spans="1:20" s="161" customFormat="1" ht="16.5" hidden="1">
      <c r="A241" s="8"/>
      <c r="B241" s="40" t="s">
        <v>143</v>
      </c>
      <c r="C241" s="30">
        <v>595.9</v>
      </c>
      <c r="D241" s="30">
        <f>619.3</f>
        <v>619.29999999999995</v>
      </c>
      <c r="E241" s="30">
        <v>605.70000000000005</v>
      </c>
      <c r="F241" s="30">
        <v>595.9</v>
      </c>
      <c r="G241" s="30">
        <v>514.9</v>
      </c>
      <c r="H241" s="122">
        <f t="shared" si="39"/>
        <v>90.800000000000068</v>
      </c>
      <c r="I241" s="162">
        <f>G241/G297</f>
        <v>8.3476540968191687E-4</v>
      </c>
      <c r="J241" s="30">
        <f>399.5+264.8+867.3</f>
        <v>1531.6</v>
      </c>
      <c r="K241" s="155" t="e">
        <f>IF(#REF!=0,"0,0%",J241/#REF!)</f>
        <v>#REF!</v>
      </c>
      <c r="L241" s="163">
        <f t="shared" si="35"/>
        <v>-90.800000000000068</v>
      </c>
      <c r="M241" s="158">
        <f t="shared" si="36"/>
        <v>0.85009080402839676</v>
      </c>
      <c r="N241" s="17">
        <f t="shared" si="37"/>
        <v>-81</v>
      </c>
      <c r="O241" s="122">
        <v>699.4</v>
      </c>
      <c r="P241" s="122">
        <v>699.4</v>
      </c>
      <c r="Q241" s="155">
        <f t="shared" si="28"/>
        <v>1</v>
      </c>
      <c r="R241" s="122">
        <v>773.6</v>
      </c>
      <c r="S241" s="122">
        <v>773.6</v>
      </c>
      <c r="T241" s="155">
        <f t="shared" si="29"/>
        <v>1</v>
      </c>
    </row>
    <row r="242" spans="1:20" s="161" customFormat="1" ht="16.5" hidden="1">
      <c r="A242" s="8"/>
      <c r="B242" s="40" t="s">
        <v>308</v>
      </c>
      <c r="C242" s="30">
        <v>112.5</v>
      </c>
      <c r="D242" s="30">
        <f>148.9</f>
        <v>148.9</v>
      </c>
      <c r="E242" s="30">
        <v>148.9</v>
      </c>
      <c r="F242" s="30">
        <v>112.5</v>
      </c>
      <c r="G242" s="30">
        <v>141.4</v>
      </c>
      <c r="H242" s="30">
        <f t="shared" si="39"/>
        <v>7.5</v>
      </c>
      <c r="I242" s="162">
        <f>G242/G297</f>
        <v>2.2924029700723065E-4</v>
      </c>
      <c r="J242" s="55">
        <v>214.3</v>
      </c>
      <c r="K242" s="155" t="e">
        <f>IF(#REF!=0,"0,0%",J242/#REF!)</f>
        <v>#REF!</v>
      </c>
      <c r="L242" s="163">
        <f t="shared" si="35"/>
        <v>-7.5</v>
      </c>
      <c r="M242" s="158">
        <f t="shared" si="36"/>
        <v>0.94963062458025516</v>
      </c>
      <c r="N242" s="17">
        <f t="shared" si="37"/>
        <v>28.900000000000006</v>
      </c>
      <c r="O242" s="122">
        <v>668.7</v>
      </c>
      <c r="P242" s="154">
        <v>668.7</v>
      </c>
      <c r="Q242" s="155">
        <f t="shared" si="28"/>
        <v>1</v>
      </c>
      <c r="R242" s="122">
        <v>691.9</v>
      </c>
      <c r="S242" s="154">
        <v>691.9</v>
      </c>
      <c r="T242" s="155">
        <f t="shared" si="29"/>
        <v>1</v>
      </c>
    </row>
    <row r="243" spans="1:20" s="161" customFormat="1" ht="16.5" hidden="1">
      <c r="A243" s="8"/>
      <c r="B243" s="40" t="s">
        <v>146</v>
      </c>
      <c r="C243" s="30">
        <v>306.2</v>
      </c>
      <c r="D243" s="30">
        <f>1370.2</f>
        <v>1370.2</v>
      </c>
      <c r="E243" s="30">
        <v>206.6</v>
      </c>
      <c r="F243" s="30">
        <f>306.2</f>
        <v>306.2</v>
      </c>
      <c r="G243" s="30">
        <f>206.5</f>
        <v>206.5</v>
      </c>
      <c r="H243" s="30">
        <f t="shared" si="39"/>
        <v>9.9999999999994316E-2</v>
      </c>
      <c r="I243" s="162">
        <f>G243/G297</f>
        <v>3.3478162186699521E-4</v>
      </c>
      <c r="J243" s="55">
        <v>1445.6</v>
      </c>
      <c r="K243" s="155" t="e">
        <f>IF(#REF!=0,"0,0%",J243/#REF!)</f>
        <v>#REF!</v>
      </c>
      <c r="L243" s="163">
        <f t="shared" si="35"/>
        <v>-9.9999999999994316E-2</v>
      </c>
      <c r="M243" s="158">
        <f t="shared" si="36"/>
        <v>0.99951597289448213</v>
      </c>
      <c r="N243" s="17">
        <f t="shared" si="37"/>
        <v>-99.699999999999989</v>
      </c>
      <c r="O243" s="122">
        <v>149</v>
      </c>
      <c r="P243" s="154">
        <v>149</v>
      </c>
      <c r="Q243" s="155">
        <f t="shared" si="28"/>
        <v>1</v>
      </c>
      <c r="R243" s="122">
        <v>148.9</v>
      </c>
      <c r="S243" s="154">
        <v>148.9</v>
      </c>
      <c r="T243" s="155">
        <f t="shared" si="29"/>
        <v>1</v>
      </c>
    </row>
    <row r="244" spans="1:20" s="164" customFormat="1" ht="16.5">
      <c r="A244" s="8">
        <v>612</v>
      </c>
      <c r="B244" s="121" t="s">
        <v>149</v>
      </c>
      <c r="C244" s="55">
        <f>C246+C247+C248+C249+C250</f>
        <v>4879.8</v>
      </c>
      <c r="D244" s="55">
        <f>D246+D247+D248+D249+D250</f>
        <v>8279.0999999999985</v>
      </c>
      <c r="E244" s="55">
        <f>E246+E247+E248+E249+E250</f>
        <v>4546.5</v>
      </c>
      <c r="F244" s="55">
        <f>F246+F247+F248+F249+F250</f>
        <v>4879.8999999999996</v>
      </c>
      <c r="G244" s="55">
        <f>G246+G247+G248+G249+G250</f>
        <v>4213.5</v>
      </c>
      <c r="H244" s="55">
        <f t="shared" si="39"/>
        <v>333</v>
      </c>
      <c r="I244" s="162">
        <f>G244/G297</f>
        <v>6.8310041827437506E-3</v>
      </c>
      <c r="J244" s="55" t="e">
        <f>J246+J247+J248+J249+J250</f>
        <v>#REF!</v>
      </c>
      <c r="K244" s="155" t="e">
        <f>IF(#REF!=0,"0,0%",J244/#REF!)</f>
        <v>#REF!</v>
      </c>
      <c r="L244" s="163">
        <f t="shared" si="35"/>
        <v>-333</v>
      </c>
      <c r="M244" s="158">
        <f t="shared" si="36"/>
        <v>0.92675684592543717</v>
      </c>
      <c r="N244" s="17">
        <f t="shared" si="37"/>
        <v>-666.39999999999964</v>
      </c>
      <c r="O244" s="129" t="e">
        <f>O246+#REF!+O247+O248+O249+#REF!</f>
        <v>#REF!</v>
      </c>
      <c r="P244" s="129" t="e">
        <f>P246+#REF!+P247+P248+P249+#REF!</f>
        <v>#REF!</v>
      </c>
      <c r="Q244" s="160" t="e">
        <f t="shared" si="28"/>
        <v>#REF!</v>
      </c>
      <c r="R244" s="129" t="e">
        <f>R246+#REF!+R247+R248+R249+#REF!</f>
        <v>#REF!</v>
      </c>
      <c r="S244" s="129" t="e">
        <f>S246+#REF!+S247+S248+S249+#REF!</f>
        <v>#REF!</v>
      </c>
      <c r="T244" s="160" t="e">
        <f t="shared" si="29"/>
        <v>#REF!</v>
      </c>
    </row>
    <row r="245" spans="1:20" s="161" customFormat="1" ht="16.5">
      <c r="A245" s="165"/>
      <c r="B245" s="150" t="s">
        <v>139</v>
      </c>
      <c r="C245" s="125"/>
      <c r="D245" s="55"/>
      <c r="E245" s="55"/>
      <c r="F245" s="55"/>
      <c r="G245" s="55"/>
      <c r="H245" s="55"/>
      <c r="I245" s="162"/>
      <c r="J245" s="55"/>
      <c r="K245" s="155"/>
      <c r="L245" s="163"/>
      <c r="M245" s="158"/>
      <c r="N245" s="17"/>
      <c r="O245" s="154"/>
      <c r="P245" s="154"/>
      <c r="Q245" s="160"/>
      <c r="R245" s="154"/>
      <c r="S245" s="154"/>
      <c r="T245" s="160"/>
    </row>
    <row r="246" spans="1:20" s="164" customFormat="1" ht="33">
      <c r="A246" s="166"/>
      <c r="B246" s="126" t="s">
        <v>309</v>
      </c>
      <c r="C246" s="55">
        <v>66.8</v>
      </c>
      <c r="D246" s="55">
        <v>300</v>
      </c>
      <c r="E246" s="55">
        <v>300</v>
      </c>
      <c r="F246" s="55">
        <f>66.8+0.1</f>
        <v>66.899999999999991</v>
      </c>
      <c r="G246" s="55">
        <v>290.10000000000002</v>
      </c>
      <c r="H246" s="55">
        <f t="shared" si="39"/>
        <v>9.8999999999999773</v>
      </c>
      <c r="I246" s="162">
        <f>G246/G297</f>
        <v>4.7031548912162386E-4</v>
      </c>
      <c r="J246" s="55">
        <v>400</v>
      </c>
      <c r="K246" s="155" t="e">
        <f>IF(#REF!=0,"0,0%",J246/#REF!)</f>
        <v>#REF!</v>
      </c>
      <c r="L246" s="163">
        <f t="shared" si="35"/>
        <v>-9.8999999999999773</v>
      </c>
      <c r="M246" s="158">
        <f t="shared" si="36"/>
        <v>0.96700000000000008</v>
      </c>
      <c r="N246" s="17">
        <f t="shared" si="37"/>
        <v>223.20000000000005</v>
      </c>
      <c r="O246" s="129">
        <f>5123.2+6037.3</f>
        <v>11160.5</v>
      </c>
      <c r="P246" s="129">
        <f>5123.2+6037.3</f>
        <v>11160.5</v>
      </c>
      <c r="Q246" s="160">
        <f t="shared" ref="Q246:Q293" si="45">IF(O246=0,"0,0%",P246/O246)</f>
        <v>1</v>
      </c>
      <c r="R246" s="129">
        <f>5653.2+6640</f>
        <v>12293.2</v>
      </c>
      <c r="S246" s="129">
        <f>5653.2+6640</f>
        <v>12293.2</v>
      </c>
      <c r="T246" s="160">
        <f t="shared" ref="T246:T293" si="46">IF(R246=0,"0,0%",S246/R246)</f>
        <v>1</v>
      </c>
    </row>
    <row r="247" spans="1:20" s="164" customFormat="1" ht="33">
      <c r="A247" s="166">
        <v>7950400</v>
      </c>
      <c r="B247" s="126" t="s">
        <v>310</v>
      </c>
      <c r="C247" s="55">
        <v>2631</v>
      </c>
      <c r="D247" s="55">
        <v>0</v>
      </c>
      <c r="E247" s="55">
        <v>551.29999999999995</v>
      </c>
      <c r="F247" s="55">
        <v>2631</v>
      </c>
      <c r="G247" s="55">
        <v>551.29999999999995</v>
      </c>
      <c r="H247" s="55">
        <f t="shared" si="39"/>
        <v>0</v>
      </c>
      <c r="I247" s="162">
        <f>G247/G297</f>
        <v>8.9377776336694648E-4</v>
      </c>
      <c r="J247" s="55">
        <v>0</v>
      </c>
      <c r="K247" s="155" t="e">
        <f>IF(#REF!=0,"0,0%",J247/#REF!)</f>
        <v>#REF!</v>
      </c>
      <c r="L247" s="163">
        <f t="shared" si="35"/>
        <v>0</v>
      </c>
      <c r="M247" s="158">
        <f t="shared" si="36"/>
        <v>1</v>
      </c>
      <c r="N247" s="17">
        <f t="shared" si="37"/>
        <v>-2079.6999999999998</v>
      </c>
      <c r="O247" s="129">
        <v>0</v>
      </c>
      <c r="P247" s="129">
        <v>0</v>
      </c>
      <c r="Q247" s="160" t="str">
        <f t="shared" si="45"/>
        <v>0,0%</v>
      </c>
      <c r="R247" s="129">
        <v>0</v>
      </c>
      <c r="S247" s="129">
        <v>0</v>
      </c>
      <c r="T247" s="160" t="str">
        <f t="shared" si="46"/>
        <v>0,0%</v>
      </c>
    </row>
    <row r="248" spans="1:20" s="164" customFormat="1" ht="82.5">
      <c r="A248" s="166">
        <v>7950600</v>
      </c>
      <c r="B248" s="126" t="s">
        <v>311</v>
      </c>
      <c r="C248" s="55">
        <v>2143.5</v>
      </c>
      <c r="D248" s="55">
        <v>4090.9</v>
      </c>
      <c r="E248" s="55">
        <v>2035.9</v>
      </c>
      <c r="F248" s="55">
        <v>2143.5</v>
      </c>
      <c r="G248" s="55">
        <v>1722.4</v>
      </c>
      <c r="H248" s="55">
        <f t="shared" si="39"/>
        <v>313.5</v>
      </c>
      <c r="I248" s="162">
        <f>G248/G297</f>
        <v>2.7923867578872282E-3</v>
      </c>
      <c r="J248" s="55" t="e">
        <f>SUM(#REF!)</f>
        <v>#REF!</v>
      </c>
      <c r="K248" s="155" t="e">
        <f>IF(#REF!=0,"0,0%",J248/#REF!)</f>
        <v>#REF!</v>
      </c>
      <c r="L248" s="163">
        <f t="shared" si="35"/>
        <v>-313.5</v>
      </c>
      <c r="M248" s="158">
        <f t="shared" si="36"/>
        <v>0.84601404784124956</v>
      </c>
      <c r="N248" s="17">
        <f t="shared" si="37"/>
        <v>-421.09999999999991</v>
      </c>
      <c r="O248" s="129">
        <v>0</v>
      </c>
      <c r="P248" s="129">
        <v>0</v>
      </c>
      <c r="Q248" s="160" t="str">
        <f t="shared" si="45"/>
        <v>0,0%</v>
      </c>
      <c r="R248" s="129">
        <v>0</v>
      </c>
      <c r="S248" s="129">
        <v>0</v>
      </c>
      <c r="T248" s="160" t="str">
        <f t="shared" si="46"/>
        <v>0,0%</v>
      </c>
    </row>
    <row r="249" spans="1:20" s="164" customFormat="1" ht="66">
      <c r="A249" s="166">
        <v>7950800</v>
      </c>
      <c r="B249" s="126" t="s">
        <v>260</v>
      </c>
      <c r="C249" s="55">
        <v>38.5</v>
      </c>
      <c r="D249" s="55">
        <v>403.2</v>
      </c>
      <c r="E249" s="55">
        <v>25.6</v>
      </c>
      <c r="F249" s="55">
        <v>38.5</v>
      </c>
      <c r="G249" s="55">
        <v>25.6</v>
      </c>
      <c r="H249" s="55">
        <f t="shared" si="39"/>
        <v>0</v>
      </c>
      <c r="I249" s="162">
        <f>G249/G297</f>
        <v>4.1503193800460426E-5</v>
      </c>
      <c r="J249" s="55">
        <v>0</v>
      </c>
      <c r="K249" s="155" t="e">
        <f>IF(#REF!=0,"0,0%",J249/#REF!)</f>
        <v>#REF!</v>
      </c>
      <c r="L249" s="163">
        <f t="shared" si="35"/>
        <v>0</v>
      </c>
      <c r="M249" s="158">
        <f t="shared" si="36"/>
        <v>1</v>
      </c>
      <c r="N249" s="17">
        <f t="shared" si="37"/>
        <v>-12.899999999999999</v>
      </c>
      <c r="O249" s="129">
        <v>146.4</v>
      </c>
      <c r="P249" s="129">
        <v>146.4</v>
      </c>
      <c r="Q249" s="160">
        <f t="shared" si="45"/>
        <v>1</v>
      </c>
      <c r="R249" s="129">
        <v>146.4</v>
      </c>
      <c r="S249" s="129">
        <v>146.4</v>
      </c>
      <c r="T249" s="160">
        <f t="shared" si="46"/>
        <v>1</v>
      </c>
    </row>
    <row r="250" spans="1:20" s="164" customFormat="1" ht="66">
      <c r="A250" s="166">
        <v>7955300</v>
      </c>
      <c r="B250" s="126" t="s">
        <v>312</v>
      </c>
      <c r="C250" s="55">
        <v>0</v>
      </c>
      <c r="D250" s="55">
        <v>3485</v>
      </c>
      <c r="E250" s="55">
        <v>1633.7</v>
      </c>
      <c r="F250" s="55">
        <v>0</v>
      </c>
      <c r="G250" s="55">
        <v>1624.1</v>
      </c>
      <c r="H250" s="55">
        <f t="shared" si="39"/>
        <v>9.6000000000001364</v>
      </c>
      <c r="I250" s="162">
        <f>G250/G297</f>
        <v>2.6330209785674912E-3</v>
      </c>
      <c r="J250" s="55" t="e">
        <f>SUM(#REF!)</f>
        <v>#REF!</v>
      </c>
      <c r="K250" s="155" t="e">
        <f>IF(#REF!=0,"0,0%",J250/#REF!)</f>
        <v>#REF!</v>
      </c>
      <c r="L250" s="163">
        <f t="shared" si="35"/>
        <v>-9.6000000000001364</v>
      </c>
      <c r="M250" s="158">
        <f t="shared" si="36"/>
        <v>0.99412376813368419</v>
      </c>
      <c r="N250" s="17">
        <f t="shared" si="37"/>
        <v>1624.1</v>
      </c>
      <c r="O250" s="129">
        <v>146.4</v>
      </c>
      <c r="P250" s="129">
        <v>146.4</v>
      </c>
      <c r="Q250" s="160">
        <f t="shared" si="45"/>
        <v>1</v>
      </c>
      <c r="R250" s="129">
        <v>146.4</v>
      </c>
      <c r="S250" s="129">
        <v>146.4</v>
      </c>
      <c r="T250" s="160">
        <f t="shared" si="46"/>
        <v>1</v>
      </c>
    </row>
    <row r="251" spans="1:20" s="164" customFormat="1" ht="16.5">
      <c r="A251" s="108" t="s">
        <v>313</v>
      </c>
      <c r="B251" s="109" t="s">
        <v>314</v>
      </c>
      <c r="C251" s="58">
        <f>C252+C267</f>
        <v>38021.4</v>
      </c>
      <c r="D251" s="58">
        <f>D252+D267</f>
        <v>64891.200000000004</v>
      </c>
      <c r="E251" s="58">
        <f>E252+E267</f>
        <v>41780.699999999997</v>
      </c>
      <c r="F251" s="58">
        <f>F252+F267</f>
        <v>38021.4</v>
      </c>
      <c r="G251" s="58">
        <f>G252+G267</f>
        <v>40669.800000000003</v>
      </c>
      <c r="H251" s="59">
        <f t="shared" si="39"/>
        <v>1110.8999999999942</v>
      </c>
      <c r="I251" s="107">
        <f>G251/G297</f>
        <v>6.5934632469764276E-2</v>
      </c>
      <c r="J251" s="59" t="e">
        <f>J252+J267+#REF!</f>
        <v>#REF!</v>
      </c>
      <c r="K251" s="160" t="e">
        <f>IF(#REF!=0,"0,0%",J251/#REF!)</f>
        <v>#REF!</v>
      </c>
      <c r="L251" s="21">
        <f t="shared" si="35"/>
        <v>-1110.8999999999942</v>
      </c>
      <c r="M251" s="22">
        <f t="shared" si="36"/>
        <v>0.97341116831455687</v>
      </c>
      <c r="N251" s="17">
        <f t="shared" si="37"/>
        <v>2648.4000000000015</v>
      </c>
      <c r="O251" s="167" t="e">
        <f>O252+O267</f>
        <v>#REF!</v>
      </c>
      <c r="P251" s="167" t="e">
        <f>P252+P267</f>
        <v>#REF!</v>
      </c>
      <c r="Q251" s="160" t="e">
        <f t="shared" si="45"/>
        <v>#REF!</v>
      </c>
      <c r="R251" s="167" t="e">
        <f>R252+R267</f>
        <v>#REF!</v>
      </c>
      <c r="S251" s="167" t="e">
        <f>S252+S267</f>
        <v>#REF!</v>
      </c>
      <c r="T251" s="160" t="e">
        <f t="shared" si="46"/>
        <v>#REF!</v>
      </c>
    </row>
    <row r="252" spans="1:20" s="164" customFormat="1" ht="33">
      <c r="A252" s="112" t="s">
        <v>315</v>
      </c>
      <c r="B252" s="116" t="s">
        <v>316</v>
      </c>
      <c r="C252" s="60">
        <f>C253+C260</f>
        <v>31303.600000000002</v>
      </c>
      <c r="D252" s="60">
        <f>D253+D260</f>
        <v>58069.8</v>
      </c>
      <c r="E252" s="60">
        <f>E253+E260</f>
        <v>34388</v>
      </c>
      <c r="F252" s="59">
        <f>F253+F260</f>
        <v>31303.600000000002</v>
      </c>
      <c r="G252" s="60">
        <f>G253+G260</f>
        <v>33287.4</v>
      </c>
      <c r="H252" s="60">
        <f t="shared" si="39"/>
        <v>1100.5999999999985</v>
      </c>
      <c r="I252" s="107">
        <f>G252/G297</f>
        <v>5.3966148957556505E-2</v>
      </c>
      <c r="J252" s="60" t="e">
        <f>J253+J260</f>
        <v>#REF!</v>
      </c>
      <c r="K252" s="160" t="e">
        <f>IF(#REF!=0,"0,0%",J252/#REF!)</f>
        <v>#REF!</v>
      </c>
      <c r="L252" s="21">
        <f t="shared" si="35"/>
        <v>-1100.5999999999985</v>
      </c>
      <c r="M252" s="22">
        <f t="shared" si="36"/>
        <v>0.96799464929626622</v>
      </c>
      <c r="N252" s="17">
        <f t="shared" si="37"/>
        <v>1983.7999999999993</v>
      </c>
      <c r="O252" s="120" t="e">
        <f>O253+O260</f>
        <v>#REF!</v>
      </c>
      <c r="P252" s="120" t="e">
        <f>P253+P260</f>
        <v>#REF!</v>
      </c>
      <c r="Q252" s="160" t="e">
        <f t="shared" si="45"/>
        <v>#REF!</v>
      </c>
      <c r="R252" s="120" t="e">
        <f>R253+R260</f>
        <v>#REF!</v>
      </c>
      <c r="S252" s="120" t="e">
        <f>S253+S260</f>
        <v>#REF!</v>
      </c>
      <c r="T252" s="160" t="e">
        <f t="shared" si="46"/>
        <v>#REF!</v>
      </c>
    </row>
    <row r="253" spans="1:20" s="164" customFormat="1" ht="16.5">
      <c r="A253" s="114" t="s">
        <v>317</v>
      </c>
      <c r="B253" s="121" t="s">
        <v>138</v>
      </c>
      <c r="C253" s="55">
        <f>SUM(C255:C259)</f>
        <v>25812.400000000001</v>
      </c>
      <c r="D253" s="55">
        <f>SUM(D255:D259)</f>
        <v>28895.8</v>
      </c>
      <c r="E253" s="55">
        <f>SUM(E255:E259)</f>
        <v>28658.800000000003</v>
      </c>
      <c r="F253" s="55">
        <f>SUM(F255:F259)</f>
        <v>25812.400000000001</v>
      </c>
      <c r="G253" s="55">
        <f>SUM(G255:G259)</f>
        <v>27939.8</v>
      </c>
      <c r="H253" s="55">
        <f t="shared" si="39"/>
        <v>719.00000000000364</v>
      </c>
      <c r="I253" s="162">
        <f>G253/G297</f>
        <v>4.5296520865082193E-2</v>
      </c>
      <c r="J253" s="55">
        <f>SUM(J255:J259)</f>
        <v>58683.3</v>
      </c>
      <c r="K253" s="155" t="e">
        <f>IF(#REF!=0,"0,0%",J253/#REF!)</f>
        <v>#REF!</v>
      </c>
      <c r="L253" s="163">
        <f t="shared" si="35"/>
        <v>-719.00000000000364</v>
      </c>
      <c r="M253" s="158">
        <f t="shared" si="36"/>
        <v>0.97491171996036108</v>
      </c>
      <c r="N253" s="17">
        <f t="shared" si="37"/>
        <v>2127.3999999999978</v>
      </c>
      <c r="O253" s="129" t="e">
        <f>O255+#REF!+#REF!+O256+#REF!+O257+#REF!+#REF!+O258+O259+#REF!</f>
        <v>#REF!</v>
      </c>
      <c r="P253" s="129" t="e">
        <f>P255+#REF!+#REF!+P256+#REF!+P257+#REF!+#REF!+P258+P259+#REF!</f>
        <v>#REF!</v>
      </c>
      <c r="Q253" s="160" t="e">
        <f t="shared" si="45"/>
        <v>#REF!</v>
      </c>
      <c r="R253" s="129" t="e">
        <f>R255+#REF!+#REF!+R256+#REF!+R257+#REF!+#REF!+R258+R259+#REF!</f>
        <v>#REF!</v>
      </c>
      <c r="S253" s="129" t="e">
        <f>S255+#REF!+#REF!+S256+#REF!+S257+#REF!+#REF!+S258+S259+#REF!</f>
        <v>#REF!</v>
      </c>
      <c r="T253" s="160" t="e">
        <f t="shared" si="46"/>
        <v>#REF!</v>
      </c>
    </row>
    <row r="254" spans="1:20" s="161" customFormat="1" ht="16.5" hidden="1">
      <c r="A254" s="125"/>
      <c r="B254" s="52" t="s">
        <v>139</v>
      </c>
      <c r="C254" s="125"/>
      <c r="D254" s="55"/>
      <c r="E254" s="55"/>
      <c r="F254" s="55"/>
      <c r="G254" s="55"/>
      <c r="H254" s="55"/>
      <c r="I254" s="162"/>
      <c r="J254" s="55"/>
      <c r="K254" s="155"/>
      <c r="L254" s="163"/>
      <c r="M254" s="158"/>
      <c r="N254" s="17"/>
      <c r="O254" s="154"/>
      <c r="P254" s="154"/>
      <c r="Q254" s="155"/>
      <c r="R254" s="154"/>
      <c r="S254" s="154"/>
      <c r="T254" s="155"/>
    </row>
    <row r="255" spans="1:20" s="161" customFormat="1" ht="16.5" hidden="1">
      <c r="A255" s="8"/>
      <c r="B255" s="40" t="s">
        <v>307</v>
      </c>
      <c r="C255" s="30">
        <v>20462.5</v>
      </c>
      <c r="D255" s="30">
        <f>21167.5</f>
        <v>21167.5</v>
      </c>
      <c r="E255" s="30">
        <v>22355.200000000001</v>
      </c>
      <c r="F255" s="30">
        <v>20462.5</v>
      </c>
      <c r="G255" s="30">
        <v>22355.200000000001</v>
      </c>
      <c r="H255" s="30">
        <f t="shared" si="39"/>
        <v>0</v>
      </c>
      <c r="I255" s="162">
        <f>G255/G297</f>
        <v>3.6242663986252067E-2</v>
      </c>
      <c r="J255" s="30">
        <f>47202.1</f>
        <v>47202.1</v>
      </c>
      <c r="K255" s="155" t="e">
        <f>IF(#REF!=0,"0,0%",J255/#REF!)</f>
        <v>#REF!</v>
      </c>
      <c r="L255" s="163">
        <f t="shared" ref="L255:L296" si="47">G255-E255</f>
        <v>0</v>
      </c>
      <c r="M255" s="158">
        <f t="shared" ref="M255:M296" si="48">G255/E255</f>
        <v>1</v>
      </c>
      <c r="N255" s="17">
        <f t="shared" ref="N255:N297" si="49">G255-F255</f>
        <v>1892.7000000000007</v>
      </c>
      <c r="O255" s="122">
        <v>16455.400000000001</v>
      </c>
      <c r="P255" s="122">
        <v>16455.400000000001</v>
      </c>
      <c r="Q255" s="155">
        <f t="shared" si="45"/>
        <v>1</v>
      </c>
      <c r="R255" s="122">
        <v>16663.7</v>
      </c>
      <c r="S255" s="122">
        <v>16663.7</v>
      </c>
      <c r="T255" s="155">
        <f t="shared" si="46"/>
        <v>1</v>
      </c>
    </row>
    <row r="256" spans="1:20" s="161" customFormat="1" ht="16.5" hidden="1">
      <c r="A256" s="8"/>
      <c r="B256" s="40" t="s">
        <v>142</v>
      </c>
      <c r="C256" s="30">
        <v>70.900000000000006</v>
      </c>
      <c r="D256" s="30">
        <f>95.8</f>
        <v>95.8</v>
      </c>
      <c r="E256" s="30">
        <v>81.400000000000006</v>
      </c>
      <c r="F256" s="30">
        <v>70.900000000000006</v>
      </c>
      <c r="G256" s="30">
        <v>81.3</v>
      </c>
      <c r="H256" s="30">
        <f t="shared" si="39"/>
        <v>0.10000000000000853</v>
      </c>
      <c r="I256" s="162">
        <f>G256/G297</f>
        <v>1.3180506468661845E-4</v>
      </c>
      <c r="J256" s="30">
        <v>167.5</v>
      </c>
      <c r="K256" s="155" t="e">
        <f>IF(#REF!=0,"0,0%",J256/#REF!)</f>
        <v>#REF!</v>
      </c>
      <c r="L256" s="163">
        <f t="shared" si="47"/>
        <v>-0.10000000000000853</v>
      </c>
      <c r="M256" s="158">
        <f t="shared" si="48"/>
        <v>0.99877149877149862</v>
      </c>
      <c r="N256" s="17">
        <f t="shared" si="49"/>
        <v>10.399999999999991</v>
      </c>
      <c r="O256" s="122">
        <v>101.1</v>
      </c>
      <c r="P256" s="122">
        <v>101.1</v>
      </c>
      <c r="Q256" s="155">
        <f t="shared" si="45"/>
        <v>1</v>
      </c>
      <c r="R256" s="122">
        <v>106.2</v>
      </c>
      <c r="S256" s="122">
        <v>106.2</v>
      </c>
      <c r="T256" s="155">
        <f t="shared" si="46"/>
        <v>1</v>
      </c>
    </row>
    <row r="257" spans="1:20" s="161" customFormat="1" ht="16.5" hidden="1">
      <c r="A257" s="8"/>
      <c r="B257" s="40" t="s">
        <v>143</v>
      </c>
      <c r="C257" s="30">
        <v>2847.4</v>
      </c>
      <c r="D257" s="30">
        <f>3652.1</f>
        <v>3652.1</v>
      </c>
      <c r="E257" s="30">
        <v>3416.2</v>
      </c>
      <c r="F257" s="30">
        <v>2847.4</v>
      </c>
      <c r="G257" s="30">
        <v>2914.5</v>
      </c>
      <c r="H257" s="122">
        <f t="shared" si="39"/>
        <v>501.69999999999982</v>
      </c>
      <c r="I257" s="162">
        <f>G257/G297</f>
        <v>4.7250413410719495E-3</v>
      </c>
      <c r="J257" s="30">
        <v>7040.9</v>
      </c>
      <c r="K257" s="155" t="e">
        <f>IF(#REF!=0,"0,0%",J257/#REF!)</f>
        <v>#REF!</v>
      </c>
      <c r="L257" s="163">
        <f t="shared" si="47"/>
        <v>-501.69999999999982</v>
      </c>
      <c r="M257" s="158">
        <f t="shared" si="48"/>
        <v>0.85314091680814941</v>
      </c>
      <c r="N257" s="17">
        <f t="shared" si="49"/>
        <v>67.099999999999909</v>
      </c>
      <c r="O257" s="122">
        <v>4360.3</v>
      </c>
      <c r="P257" s="122">
        <v>4360.3</v>
      </c>
      <c r="Q257" s="155">
        <f t="shared" si="45"/>
        <v>1</v>
      </c>
      <c r="R257" s="122">
        <v>4825.3</v>
      </c>
      <c r="S257" s="122">
        <v>4825.3</v>
      </c>
      <c r="T257" s="155">
        <f t="shared" si="46"/>
        <v>1</v>
      </c>
    </row>
    <row r="258" spans="1:20" s="161" customFormat="1" ht="16.5" hidden="1">
      <c r="A258" s="8"/>
      <c r="B258" s="40" t="s">
        <v>308</v>
      </c>
      <c r="C258" s="30">
        <v>646.6</v>
      </c>
      <c r="D258" s="30">
        <f>827.7</f>
        <v>827.7</v>
      </c>
      <c r="E258" s="30">
        <v>827.7</v>
      </c>
      <c r="F258" s="30">
        <v>646.6</v>
      </c>
      <c r="G258" s="30">
        <v>796.6</v>
      </c>
      <c r="H258" s="30">
        <f t="shared" si="39"/>
        <v>31.100000000000023</v>
      </c>
      <c r="I258" s="162">
        <f>G258/G297</f>
        <v>1.2914626633377647E-3</v>
      </c>
      <c r="J258" s="55">
        <v>1027.8</v>
      </c>
      <c r="K258" s="155" t="e">
        <f>IF(#REF!=0,"0,0%",J258/#REF!)</f>
        <v>#REF!</v>
      </c>
      <c r="L258" s="163">
        <f t="shared" si="47"/>
        <v>-31.100000000000023</v>
      </c>
      <c r="M258" s="158">
        <f t="shared" si="48"/>
        <v>0.96242599975836651</v>
      </c>
      <c r="N258" s="17">
        <f t="shared" si="49"/>
        <v>150</v>
      </c>
      <c r="O258" s="122">
        <v>827.7</v>
      </c>
      <c r="P258" s="154">
        <f>4.6+2.5+72.7+747.9</f>
        <v>827.69999999999993</v>
      </c>
      <c r="Q258" s="155">
        <f t="shared" si="45"/>
        <v>0.99999999999999989</v>
      </c>
      <c r="R258" s="122">
        <v>827.7</v>
      </c>
      <c r="S258" s="154">
        <v>827.7</v>
      </c>
      <c r="T258" s="155">
        <f t="shared" si="46"/>
        <v>1</v>
      </c>
    </row>
    <row r="259" spans="1:20" s="161" customFormat="1" ht="16.5" hidden="1">
      <c r="A259" s="8"/>
      <c r="B259" s="40" t="s">
        <v>318</v>
      </c>
      <c r="C259" s="30">
        <v>1785</v>
      </c>
      <c r="D259" s="30">
        <f>3152.7</f>
        <v>3152.7</v>
      </c>
      <c r="E259" s="30">
        <v>1978.3</v>
      </c>
      <c r="F259" s="30">
        <v>1785</v>
      </c>
      <c r="G259" s="30">
        <f>1792.3-0.1</f>
        <v>1792.2</v>
      </c>
      <c r="H259" s="30">
        <f t="shared" si="39"/>
        <v>186.09999999999991</v>
      </c>
      <c r="I259" s="162">
        <f>G259/G297</f>
        <v>2.9055478097337962E-3</v>
      </c>
      <c r="J259" s="30">
        <f>4507.7-262.7-1000</f>
        <v>3245</v>
      </c>
      <c r="K259" s="155" t="e">
        <f>IF(#REF!=0,"0,0%",J259/#REF!)</f>
        <v>#REF!</v>
      </c>
      <c r="L259" s="163">
        <f t="shared" si="47"/>
        <v>-186.09999999999991</v>
      </c>
      <c r="M259" s="158">
        <f t="shared" si="48"/>
        <v>0.90592933326593539</v>
      </c>
      <c r="N259" s="17">
        <f t="shared" si="49"/>
        <v>7.2000000000000455</v>
      </c>
      <c r="O259" s="122">
        <v>4046.5</v>
      </c>
      <c r="P259" s="154">
        <v>4046.5</v>
      </c>
      <c r="Q259" s="155">
        <f t="shared" si="45"/>
        <v>1</v>
      </c>
      <c r="R259" s="122">
        <v>811</v>
      </c>
      <c r="S259" s="154">
        <f>400+25+386</f>
        <v>811</v>
      </c>
      <c r="T259" s="155">
        <f t="shared" si="46"/>
        <v>1</v>
      </c>
    </row>
    <row r="260" spans="1:20" s="164" customFormat="1" ht="16.5">
      <c r="A260" s="8">
        <v>612</v>
      </c>
      <c r="B260" s="121" t="s">
        <v>149</v>
      </c>
      <c r="C260" s="55">
        <f>C262+C263+C264+C265+C266</f>
        <v>5491.2</v>
      </c>
      <c r="D260" s="55">
        <f>D262+D263+D264+D265+D266</f>
        <v>29174</v>
      </c>
      <c r="E260" s="55">
        <f>E262+E263+E264+E265+E266</f>
        <v>5729.2</v>
      </c>
      <c r="F260" s="55">
        <f>F262+F263+F264+F265+F266</f>
        <v>5491.2</v>
      </c>
      <c r="G260" s="55">
        <f>G262+G263+G264+G265+G266</f>
        <v>5347.5999999999995</v>
      </c>
      <c r="H260" s="55">
        <f t="shared" si="39"/>
        <v>381.60000000000036</v>
      </c>
      <c r="I260" s="162">
        <f>G260/G297</f>
        <v>8.6696280924743029E-3</v>
      </c>
      <c r="J260" s="55" t="e">
        <f>J262+J263+#REF!+J264+J265+J266</f>
        <v>#REF!</v>
      </c>
      <c r="K260" s="155" t="e">
        <f>IF(#REF!=0,"0,0%",J260/#REF!)</f>
        <v>#REF!</v>
      </c>
      <c r="L260" s="163">
        <f t="shared" si="47"/>
        <v>-381.60000000000036</v>
      </c>
      <c r="M260" s="158">
        <f t="shared" si="48"/>
        <v>0.93339384207219156</v>
      </c>
      <c r="N260" s="17">
        <f t="shared" si="49"/>
        <v>-143.60000000000036</v>
      </c>
      <c r="O260" s="129" t="e">
        <f>O262+O263+O264+O265+#REF!+#REF!+#REF!</f>
        <v>#REF!</v>
      </c>
      <c r="P260" s="129" t="e">
        <f>P262+P263+P264+P265+#REF!+#REF!+#REF!</f>
        <v>#REF!</v>
      </c>
      <c r="Q260" s="160" t="e">
        <f t="shared" si="45"/>
        <v>#REF!</v>
      </c>
      <c r="R260" s="129" t="e">
        <f>R262+R263+R264+R265+#REF!+#REF!+#REF!</f>
        <v>#REF!</v>
      </c>
      <c r="S260" s="129" t="e">
        <f>S262+S263+S264+S265+#REF!+#REF!+#REF!</f>
        <v>#REF!</v>
      </c>
      <c r="T260" s="160" t="e">
        <f t="shared" si="46"/>
        <v>#REF!</v>
      </c>
    </row>
    <row r="261" spans="1:20" s="161" customFormat="1" ht="16.5">
      <c r="A261" s="165"/>
      <c r="B261" s="150" t="s">
        <v>139</v>
      </c>
      <c r="C261" s="125"/>
      <c r="D261" s="55"/>
      <c r="E261" s="55"/>
      <c r="F261" s="55"/>
      <c r="G261" s="55"/>
      <c r="H261" s="55"/>
      <c r="I261" s="162"/>
      <c r="J261" s="55"/>
      <c r="K261" s="155"/>
      <c r="L261" s="163"/>
      <c r="M261" s="158"/>
      <c r="N261" s="17"/>
      <c r="O261" s="129"/>
      <c r="P261" s="129"/>
      <c r="Q261" s="160"/>
      <c r="R261" s="129"/>
      <c r="S261" s="129"/>
      <c r="T261" s="160"/>
    </row>
    <row r="262" spans="1:20" s="164" customFormat="1" ht="33">
      <c r="A262" s="166"/>
      <c r="B262" s="126" t="s">
        <v>319</v>
      </c>
      <c r="C262" s="55">
        <v>1450.6</v>
      </c>
      <c r="D262" s="55">
        <v>1690</v>
      </c>
      <c r="E262" s="55">
        <v>1319.2</v>
      </c>
      <c r="F262" s="55">
        <v>1450.6</v>
      </c>
      <c r="G262" s="55">
        <v>1268.3</v>
      </c>
      <c r="H262" s="55">
        <f t="shared" si="39"/>
        <v>50.900000000000091</v>
      </c>
      <c r="I262" s="162">
        <f>G262/G297</f>
        <v>2.0561914334814046E-3</v>
      </c>
      <c r="J262" s="55">
        <v>1600</v>
      </c>
      <c r="K262" s="155" t="e">
        <f>IF(#REF!=0,"0,0%",J262/#REF!)</f>
        <v>#REF!</v>
      </c>
      <c r="L262" s="163">
        <f t="shared" si="47"/>
        <v>-50.900000000000091</v>
      </c>
      <c r="M262" s="158">
        <f t="shared" si="48"/>
        <v>0.96141600970285013</v>
      </c>
      <c r="N262" s="17">
        <f t="shared" si="49"/>
        <v>-182.29999999999995</v>
      </c>
      <c r="O262" s="129">
        <v>7131.5</v>
      </c>
      <c r="P262" s="129">
        <f>2770.5+1452+1200+550</f>
        <v>5972.5</v>
      </c>
      <c r="Q262" s="160">
        <f t="shared" si="45"/>
        <v>0.83748159573722214</v>
      </c>
      <c r="R262" s="129">
        <v>8202.9</v>
      </c>
      <c r="S262" s="129">
        <f>3000+1670+1300+290</f>
        <v>6260</v>
      </c>
      <c r="T262" s="160">
        <f t="shared" si="46"/>
        <v>0.76314474149386191</v>
      </c>
    </row>
    <row r="263" spans="1:20" s="164" customFormat="1" ht="16.5">
      <c r="A263" s="166"/>
      <c r="B263" s="126" t="s">
        <v>320</v>
      </c>
      <c r="C263" s="55">
        <v>0</v>
      </c>
      <c r="D263" s="55">
        <v>20000</v>
      </c>
      <c r="E263" s="55">
        <v>0</v>
      </c>
      <c r="F263" s="55">
        <v>0</v>
      </c>
      <c r="G263" s="55">
        <v>0</v>
      </c>
      <c r="H263" s="154">
        <f t="shared" si="39"/>
        <v>0</v>
      </c>
      <c r="I263" s="162">
        <f>G263/G297</f>
        <v>0</v>
      </c>
      <c r="J263" s="55">
        <v>0</v>
      </c>
      <c r="K263" s="155" t="e">
        <f>IF(#REF!=0,"0,0%",J263/#REF!)</f>
        <v>#REF!</v>
      </c>
      <c r="L263" s="163">
        <f t="shared" si="47"/>
        <v>0</v>
      </c>
      <c r="M263" s="158">
        <v>0</v>
      </c>
      <c r="N263" s="17">
        <f t="shared" si="49"/>
        <v>0</v>
      </c>
      <c r="O263" s="129">
        <v>7783.6</v>
      </c>
      <c r="P263" s="129">
        <f>1500+700+2000</f>
        <v>4200</v>
      </c>
      <c r="Q263" s="160">
        <f t="shared" si="45"/>
        <v>0.53959607379618679</v>
      </c>
      <c r="R263" s="129">
        <v>2905</v>
      </c>
      <c r="S263" s="129">
        <f>800+695</f>
        <v>1495</v>
      </c>
      <c r="T263" s="160">
        <f t="shared" si="46"/>
        <v>0.51462994836488818</v>
      </c>
    </row>
    <row r="264" spans="1:20" s="164" customFormat="1" ht="66">
      <c r="A264" s="166">
        <v>7950700</v>
      </c>
      <c r="B264" s="126" t="s">
        <v>321</v>
      </c>
      <c r="C264" s="55">
        <v>3870.1</v>
      </c>
      <c r="D264" s="55">
        <v>7357.8</v>
      </c>
      <c r="E264" s="55">
        <v>4321.6000000000004</v>
      </c>
      <c r="F264" s="55">
        <v>3870.1</v>
      </c>
      <c r="G264" s="55">
        <v>3990.9</v>
      </c>
      <c r="H264" s="55">
        <f t="shared" si="39"/>
        <v>330.70000000000027</v>
      </c>
      <c r="I264" s="162">
        <f>G264/G297</f>
        <v>6.470120942900684E-3</v>
      </c>
      <c r="J264" s="55" t="e">
        <f>SUM(#REF!)</f>
        <v>#REF!</v>
      </c>
      <c r="K264" s="155" t="e">
        <f>IF(#REF!=0,"0,0%",J264/#REF!)</f>
        <v>#REF!</v>
      </c>
      <c r="L264" s="163">
        <f t="shared" si="47"/>
        <v>-330.70000000000027</v>
      </c>
      <c r="M264" s="158">
        <f t="shared" si="48"/>
        <v>0.92347741577193632</v>
      </c>
      <c r="N264" s="17">
        <f t="shared" si="49"/>
        <v>120.80000000000018</v>
      </c>
      <c r="O264" s="129">
        <v>0</v>
      </c>
      <c r="P264" s="129">
        <v>0</v>
      </c>
      <c r="Q264" s="160" t="str">
        <f t="shared" si="45"/>
        <v>0,0%</v>
      </c>
      <c r="R264" s="129">
        <v>0</v>
      </c>
      <c r="S264" s="129">
        <v>0</v>
      </c>
      <c r="T264" s="160" t="str">
        <f t="shared" si="46"/>
        <v>0,0%</v>
      </c>
    </row>
    <row r="265" spans="1:20" s="164" customFormat="1" ht="66">
      <c r="A265" s="166">
        <v>7950800</v>
      </c>
      <c r="B265" s="126" t="s">
        <v>260</v>
      </c>
      <c r="C265" s="55">
        <v>105.7</v>
      </c>
      <c r="D265" s="55">
        <v>126.2</v>
      </c>
      <c r="E265" s="55">
        <v>88.4</v>
      </c>
      <c r="F265" s="55">
        <v>105.7</v>
      </c>
      <c r="G265" s="55">
        <v>88.4</v>
      </c>
      <c r="H265" s="55">
        <f t="shared" si="39"/>
        <v>0</v>
      </c>
      <c r="I265" s="162">
        <f>G265/G297</f>
        <v>1.4331571609221491E-4</v>
      </c>
      <c r="J265" s="55">
        <v>0</v>
      </c>
      <c r="K265" s="155" t="e">
        <f>IF(#REF!=0,"0,0%",J265/#REF!)</f>
        <v>#REF!</v>
      </c>
      <c r="L265" s="163">
        <f t="shared" si="47"/>
        <v>0</v>
      </c>
      <c r="M265" s="158">
        <f t="shared" si="48"/>
        <v>1</v>
      </c>
      <c r="N265" s="17">
        <f t="shared" si="49"/>
        <v>-17.299999999999997</v>
      </c>
      <c r="O265" s="129">
        <v>292.39999999999998</v>
      </c>
      <c r="P265" s="129">
        <v>292.39999999999998</v>
      </c>
      <c r="Q265" s="160">
        <f t="shared" si="45"/>
        <v>1</v>
      </c>
      <c r="R265" s="129">
        <v>292.39999999999998</v>
      </c>
      <c r="S265" s="129">
        <v>292.39999999999998</v>
      </c>
      <c r="T265" s="160">
        <f t="shared" si="46"/>
        <v>1</v>
      </c>
    </row>
    <row r="266" spans="1:20" s="164" customFormat="1" ht="99" hidden="1">
      <c r="A266" s="168" t="s">
        <v>322</v>
      </c>
      <c r="B266" s="150" t="s">
        <v>259</v>
      </c>
      <c r="C266" s="30">
        <v>64.8</v>
      </c>
      <c r="D266" s="30">
        <v>0</v>
      </c>
      <c r="E266" s="30">
        <v>0</v>
      </c>
      <c r="F266" s="30">
        <v>64.8</v>
      </c>
      <c r="G266" s="30">
        <v>0</v>
      </c>
      <c r="H266" s="30">
        <f t="shared" si="39"/>
        <v>0</v>
      </c>
      <c r="I266" s="162">
        <f>G266/G297</f>
        <v>0</v>
      </c>
      <c r="J266" s="55">
        <v>0</v>
      </c>
      <c r="K266" s="155" t="e">
        <f>IF(#REF!=0,"0,0%",J266/#REF!)</f>
        <v>#REF!</v>
      </c>
      <c r="L266" s="163">
        <f t="shared" si="47"/>
        <v>0</v>
      </c>
      <c r="M266" s="158" t="e">
        <f t="shared" si="48"/>
        <v>#DIV/0!</v>
      </c>
      <c r="N266" s="17">
        <f t="shared" si="49"/>
        <v>-64.8</v>
      </c>
      <c r="O266" s="129">
        <v>0</v>
      </c>
      <c r="P266" s="129">
        <v>0</v>
      </c>
      <c r="Q266" s="160" t="str">
        <f t="shared" si="45"/>
        <v>0,0%</v>
      </c>
      <c r="R266" s="129">
        <v>0</v>
      </c>
      <c r="S266" s="129">
        <v>0</v>
      </c>
      <c r="T266" s="160" t="str">
        <f t="shared" si="46"/>
        <v>0,0%</v>
      </c>
    </row>
    <row r="267" spans="1:20" s="164" customFormat="1" ht="33">
      <c r="A267" s="114" t="s">
        <v>323</v>
      </c>
      <c r="B267" s="40" t="s">
        <v>324</v>
      </c>
      <c r="C267" s="30">
        <f>C268+C272+C273+C274+C275+C276</f>
        <v>6717.7999999999993</v>
      </c>
      <c r="D267" s="30">
        <f>D268+D272+D273+D274+D275+D276</f>
        <v>6821.4</v>
      </c>
      <c r="E267" s="30">
        <f>E268+E273+E274+E275+E276</f>
        <v>7392.6999999999989</v>
      </c>
      <c r="F267" s="30">
        <f>F268+F272+F273+F274+F275+F276</f>
        <v>6717.7999999999993</v>
      </c>
      <c r="G267" s="30">
        <f>G268+G273+G274+G275+G276</f>
        <v>7382.4</v>
      </c>
      <c r="H267" s="30">
        <f t="shared" si="39"/>
        <v>10.299999999999272</v>
      </c>
      <c r="I267" s="162">
        <f>G267/G297</f>
        <v>1.1968483512207775E-2</v>
      </c>
      <c r="J267" s="30" t="e">
        <f>J268+J273+J274+J275+J276+#REF!</f>
        <v>#REF!</v>
      </c>
      <c r="K267" s="155" t="e">
        <f>IF(#REF!=0,"0,0%",J267/#REF!)</f>
        <v>#REF!</v>
      </c>
      <c r="L267" s="163">
        <f t="shared" si="47"/>
        <v>-10.299999999999272</v>
      </c>
      <c r="M267" s="158">
        <f t="shared" si="48"/>
        <v>0.99860673366970132</v>
      </c>
      <c r="N267" s="17">
        <f t="shared" si="49"/>
        <v>664.60000000000036</v>
      </c>
      <c r="O267" s="120" t="e">
        <f>O268+#REF!+O273+O274+O276</f>
        <v>#REF!</v>
      </c>
      <c r="P267" s="120" t="e">
        <f>P268+#REF!+P273+P274+P276</f>
        <v>#REF!</v>
      </c>
      <c r="Q267" s="160" t="e">
        <f t="shared" si="45"/>
        <v>#REF!</v>
      </c>
      <c r="R267" s="120" t="e">
        <f>R268+#REF!+R273+R274+R276</f>
        <v>#REF!</v>
      </c>
      <c r="S267" s="120" t="e">
        <f>S268+#REF!+S273+S274+S276</f>
        <v>#REF!</v>
      </c>
      <c r="T267" s="160" t="e">
        <f t="shared" si="46"/>
        <v>#REF!</v>
      </c>
    </row>
    <row r="268" spans="1:20" s="161" customFormat="1" ht="33" hidden="1">
      <c r="A268" s="168"/>
      <c r="B268" s="169" t="s">
        <v>325</v>
      </c>
      <c r="C268" s="30">
        <f>C269+C270+C271</f>
        <v>4305.7</v>
      </c>
      <c r="D268" s="30">
        <f>D269+D270+D271</f>
        <v>4544.2</v>
      </c>
      <c r="E268" s="30">
        <f>E269+E270+E271</f>
        <v>5148.8999999999996</v>
      </c>
      <c r="F268" s="30">
        <f>F269+F270+F271</f>
        <v>4305.7</v>
      </c>
      <c r="G268" s="30">
        <f>G269+G270+G271</f>
        <v>5143.5999999999995</v>
      </c>
      <c r="H268" s="30">
        <f t="shared" si="39"/>
        <v>5.3000000000001819</v>
      </c>
      <c r="I268" s="107">
        <f>G268/G297</f>
        <v>8.3388995168768836E-3</v>
      </c>
      <c r="J268" s="30" t="e">
        <f>J269+J270+J271+#REF!</f>
        <v>#REF!</v>
      </c>
      <c r="K268" s="155" t="e">
        <f>IF(#REF!=0,"0,0%",J268/#REF!)</f>
        <v>#REF!</v>
      </c>
      <c r="L268" s="21">
        <f t="shared" si="47"/>
        <v>-5.3000000000001819</v>
      </c>
      <c r="M268" s="22">
        <f t="shared" si="48"/>
        <v>0.99897065392608131</v>
      </c>
      <c r="N268" s="17">
        <f t="shared" si="49"/>
        <v>837.89999999999964</v>
      </c>
      <c r="O268" s="122">
        <f>O269+O270+O271</f>
        <v>5103.3999999999996</v>
      </c>
      <c r="P268" s="122">
        <f>P269+P270+P271</f>
        <v>4760.2999999999993</v>
      </c>
      <c r="Q268" s="155">
        <f t="shared" si="45"/>
        <v>0.93277030998941879</v>
      </c>
      <c r="R268" s="122">
        <f>R269+R270+R271</f>
        <v>5357.4</v>
      </c>
      <c r="S268" s="122">
        <f>S269+S270+S271</f>
        <v>5009.2</v>
      </c>
      <c r="T268" s="155">
        <f t="shared" si="46"/>
        <v>0.93500578638892007</v>
      </c>
    </row>
    <row r="269" spans="1:20" s="161" customFormat="1" ht="16.5" hidden="1">
      <c r="A269" s="168" t="s">
        <v>298</v>
      </c>
      <c r="B269" s="170" t="s">
        <v>116</v>
      </c>
      <c r="C269" s="30">
        <f>2949.7+875.4</f>
        <v>3825.1</v>
      </c>
      <c r="D269" s="30">
        <v>4105.2</v>
      </c>
      <c r="E269" s="30">
        <v>4745.8999999999996</v>
      </c>
      <c r="F269" s="30">
        <f>2949.7+875.4</f>
        <v>3825.1</v>
      </c>
      <c r="G269" s="30">
        <v>4745.2</v>
      </c>
      <c r="H269" s="30">
        <f t="shared" si="39"/>
        <v>0.6999999999998181</v>
      </c>
      <c r="I269" s="107">
        <f>G269/G297</f>
        <v>7.6930060633572193E-3</v>
      </c>
      <c r="J269" s="30">
        <v>0</v>
      </c>
      <c r="K269" s="155" t="e">
        <f>IF(#REF!=0,"0,0%",J269/#REF!)</f>
        <v>#REF!</v>
      </c>
      <c r="L269" s="21">
        <f t="shared" si="47"/>
        <v>-0.6999999999998181</v>
      </c>
      <c r="M269" s="22">
        <f t="shared" si="48"/>
        <v>0.99985250426684091</v>
      </c>
      <c r="N269" s="17">
        <f t="shared" si="49"/>
        <v>920.09999999999991</v>
      </c>
      <c r="O269" s="122">
        <v>4577.8</v>
      </c>
      <c r="P269" s="122">
        <v>4269.8999999999996</v>
      </c>
      <c r="Q269" s="155">
        <f t="shared" si="45"/>
        <v>0.93274061776399131</v>
      </c>
      <c r="R269" s="122">
        <v>4802.5</v>
      </c>
      <c r="S269" s="122">
        <v>4482.3999999999996</v>
      </c>
      <c r="T269" s="155">
        <f t="shared" si="46"/>
        <v>0.93334721499219153</v>
      </c>
    </row>
    <row r="270" spans="1:20" s="161" customFormat="1" ht="16.5" hidden="1">
      <c r="A270" s="168" t="s">
        <v>326</v>
      </c>
      <c r="B270" s="170" t="s">
        <v>110</v>
      </c>
      <c r="C270" s="30">
        <v>137.69999999999999</v>
      </c>
      <c r="D270" s="30">
        <v>153.30000000000001</v>
      </c>
      <c r="E270" s="30">
        <v>145</v>
      </c>
      <c r="F270" s="30">
        <v>137.69999999999999</v>
      </c>
      <c r="G270" s="30">
        <v>145</v>
      </c>
      <c r="H270" s="30">
        <f t="shared" si="39"/>
        <v>0</v>
      </c>
      <c r="I270" s="107">
        <f>G270/G297</f>
        <v>2.3507668363542038E-4</v>
      </c>
      <c r="J270" s="30">
        <v>0</v>
      </c>
      <c r="K270" s="155" t="e">
        <f>IF(#REF!=0,"0,0%",J270/#REF!)</f>
        <v>#REF!</v>
      </c>
      <c r="L270" s="21">
        <f t="shared" si="47"/>
        <v>0</v>
      </c>
      <c r="M270" s="22">
        <f t="shared" si="48"/>
        <v>1</v>
      </c>
      <c r="N270" s="17">
        <f t="shared" si="49"/>
        <v>7.3000000000000114</v>
      </c>
      <c r="O270" s="122">
        <v>168.7</v>
      </c>
      <c r="P270" s="122">
        <v>168.7</v>
      </c>
      <c r="Q270" s="155">
        <f t="shared" si="45"/>
        <v>1</v>
      </c>
      <c r="R270" s="122">
        <v>186.7</v>
      </c>
      <c r="S270" s="122">
        <v>186.7</v>
      </c>
      <c r="T270" s="155">
        <f t="shared" si="46"/>
        <v>1</v>
      </c>
    </row>
    <row r="271" spans="1:20" s="161" customFormat="1" ht="16.5" hidden="1">
      <c r="A271" s="168"/>
      <c r="B271" s="170" t="s">
        <v>122</v>
      </c>
      <c r="C271" s="30">
        <v>342.9</v>
      </c>
      <c r="D271" s="30">
        <v>285.7</v>
      </c>
      <c r="E271" s="30">
        <v>258</v>
      </c>
      <c r="F271" s="30">
        <v>342.9</v>
      </c>
      <c r="G271" s="30">
        <v>253.4</v>
      </c>
      <c r="H271" s="30">
        <f t="shared" si="39"/>
        <v>4.5999999999999943</v>
      </c>
      <c r="I271" s="107">
        <f>G271/G297</f>
        <v>4.10816769884245E-4</v>
      </c>
      <c r="J271" s="55">
        <v>0</v>
      </c>
      <c r="K271" s="155" t="e">
        <f>IF(#REF!=0,"0,0%",J271/#REF!)</f>
        <v>#REF!</v>
      </c>
      <c r="L271" s="21">
        <f t="shared" si="47"/>
        <v>-4.5999999999999943</v>
      </c>
      <c r="M271" s="22">
        <f t="shared" si="48"/>
        <v>0.98217054263565895</v>
      </c>
      <c r="N271" s="17">
        <f t="shared" si="49"/>
        <v>-89.499999999999972</v>
      </c>
      <c r="O271" s="122">
        <f>425.9-69</f>
        <v>356.9</v>
      </c>
      <c r="P271" s="154">
        <f>390.7-69</f>
        <v>321.7</v>
      </c>
      <c r="Q271" s="155">
        <f t="shared" si="45"/>
        <v>0.90137293359484449</v>
      </c>
      <c r="R271" s="122">
        <f>448.7-80.5</f>
        <v>368.2</v>
      </c>
      <c r="S271" s="154">
        <f>420.6-80.5</f>
        <v>340.1</v>
      </c>
      <c r="T271" s="155">
        <f t="shared" si="46"/>
        <v>0.9236827810972299</v>
      </c>
    </row>
    <row r="272" spans="1:20" s="161" customFormat="1" ht="33" hidden="1">
      <c r="A272" s="168" t="s">
        <v>327</v>
      </c>
      <c r="B272" s="170" t="s">
        <v>328</v>
      </c>
      <c r="C272" s="30">
        <v>57.5</v>
      </c>
      <c r="D272" s="30">
        <v>0</v>
      </c>
      <c r="E272" s="30">
        <v>0</v>
      </c>
      <c r="F272" s="30">
        <v>57.5</v>
      </c>
      <c r="G272" s="30">
        <v>0</v>
      </c>
      <c r="H272" s="30">
        <f t="shared" ref="H272:H301" si="50">E272-G272</f>
        <v>0</v>
      </c>
      <c r="I272" s="107">
        <v>0</v>
      </c>
      <c r="J272" s="55"/>
      <c r="K272" s="155"/>
      <c r="L272" s="21">
        <f t="shared" si="47"/>
        <v>0</v>
      </c>
      <c r="M272" s="22">
        <v>0</v>
      </c>
      <c r="N272" s="17">
        <f t="shared" si="49"/>
        <v>-57.5</v>
      </c>
      <c r="O272" s="122"/>
      <c r="P272" s="154"/>
      <c r="Q272" s="155"/>
      <c r="R272" s="122"/>
      <c r="S272" s="154"/>
      <c r="T272" s="155"/>
    </row>
    <row r="273" spans="1:20" s="164" customFormat="1" ht="115.5" hidden="1">
      <c r="A273" s="171" t="s">
        <v>322</v>
      </c>
      <c r="B273" s="172" t="s">
        <v>259</v>
      </c>
      <c r="C273" s="60">
        <v>263.60000000000002</v>
      </c>
      <c r="D273" s="60">
        <v>0</v>
      </c>
      <c r="E273" s="60">
        <v>0</v>
      </c>
      <c r="F273" s="60">
        <v>263.60000000000002</v>
      </c>
      <c r="G273" s="60">
        <v>0</v>
      </c>
      <c r="H273" s="60">
        <f t="shared" si="50"/>
        <v>0</v>
      </c>
      <c r="I273" s="107" t="e">
        <f>G273/#REF!</f>
        <v>#REF!</v>
      </c>
      <c r="J273" s="48">
        <v>0</v>
      </c>
      <c r="K273" s="160" t="e">
        <f>IF(#REF!=0,"0,0%",J273/#REF!)</f>
        <v>#REF!</v>
      </c>
      <c r="L273" s="21">
        <f t="shared" si="47"/>
        <v>0</v>
      </c>
      <c r="M273" s="22" t="e">
        <f t="shared" si="48"/>
        <v>#DIV/0!</v>
      </c>
      <c r="N273" s="17">
        <f t="shared" si="49"/>
        <v>-263.60000000000002</v>
      </c>
      <c r="O273" s="129">
        <v>0</v>
      </c>
      <c r="P273" s="129">
        <v>0</v>
      </c>
      <c r="Q273" s="160" t="str">
        <f t="shared" si="45"/>
        <v>0,0%</v>
      </c>
      <c r="R273" s="129">
        <v>0</v>
      </c>
      <c r="S273" s="129">
        <v>0</v>
      </c>
      <c r="T273" s="160" t="str">
        <f t="shared" si="46"/>
        <v>0,0%</v>
      </c>
    </row>
    <row r="274" spans="1:20" s="164" customFormat="1" ht="82.5" hidden="1">
      <c r="A274" s="171" t="s">
        <v>329</v>
      </c>
      <c r="B274" s="172" t="s">
        <v>321</v>
      </c>
      <c r="C274" s="60">
        <v>353.9</v>
      </c>
      <c r="D274" s="60">
        <v>480</v>
      </c>
      <c r="E274" s="60">
        <v>162.5</v>
      </c>
      <c r="F274" s="60">
        <v>353.9</v>
      </c>
      <c r="G274" s="60">
        <v>162.4</v>
      </c>
      <c r="H274" s="60">
        <f t="shared" si="50"/>
        <v>9.9999999999994316E-2</v>
      </c>
      <c r="I274" s="107">
        <f>G274/G297</f>
        <v>2.6328588567167086E-4</v>
      </c>
      <c r="J274" s="48">
        <v>0</v>
      </c>
      <c r="K274" s="160" t="e">
        <f>IF(#REF!=0,"0,0%",J274/#REF!)</f>
        <v>#REF!</v>
      </c>
      <c r="L274" s="21">
        <f t="shared" si="47"/>
        <v>-9.9999999999994316E-2</v>
      </c>
      <c r="M274" s="22">
        <f t="shared" si="48"/>
        <v>0.99938461538461543</v>
      </c>
      <c r="N274" s="17">
        <f t="shared" si="49"/>
        <v>-191.49999999999997</v>
      </c>
      <c r="O274" s="129">
        <v>0</v>
      </c>
      <c r="P274" s="129">
        <v>0</v>
      </c>
      <c r="Q274" s="160" t="str">
        <f t="shared" si="45"/>
        <v>0,0%</v>
      </c>
      <c r="R274" s="129">
        <v>0</v>
      </c>
      <c r="S274" s="129">
        <v>0</v>
      </c>
      <c r="T274" s="160" t="str">
        <f t="shared" si="46"/>
        <v>0,0%</v>
      </c>
    </row>
    <row r="275" spans="1:20" s="164" customFormat="1" ht="78" hidden="1" customHeight="1">
      <c r="A275" s="173">
        <v>7950800</v>
      </c>
      <c r="B275" s="174" t="s">
        <v>260</v>
      </c>
      <c r="C275" s="48">
        <v>15</v>
      </c>
      <c r="D275" s="48">
        <v>0</v>
      </c>
      <c r="E275" s="48">
        <v>0</v>
      </c>
      <c r="F275" s="48">
        <v>15</v>
      </c>
      <c r="G275" s="48">
        <v>0</v>
      </c>
      <c r="H275" s="48">
        <f t="shared" si="50"/>
        <v>0</v>
      </c>
      <c r="I275" s="107">
        <f>G275/G277</f>
        <v>0</v>
      </c>
      <c r="J275" s="48">
        <v>0</v>
      </c>
      <c r="K275" s="160" t="e">
        <f>IF(#REF!=0,"0,0%",J275/#REF!)</f>
        <v>#REF!</v>
      </c>
      <c r="L275" s="21">
        <f t="shared" si="47"/>
        <v>0</v>
      </c>
      <c r="M275" s="22" t="e">
        <f t="shared" si="48"/>
        <v>#DIV/0!</v>
      </c>
      <c r="N275" s="17">
        <f t="shared" si="49"/>
        <v>-15</v>
      </c>
      <c r="O275" s="129">
        <v>146.4</v>
      </c>
      <c r="P275" s="129">
        <v>146.4</v>
      </c>
      <c r="Q275" s="160">
        <f t="shared" si="45"/>
        <v>1</v>
      </c>
      <c r="R275" s="129">
        <v>146.4</v>
      </c>
      <c r="S275" s="129">
        <v>146.4</v>
      </c>
      <c r="T275" s="160">
        <f t="shared" si="46"/>
        <v>1</v>
      </c>
    </row>
    <row r="276" spans="1:20" s="161" customFormat="1" ht="66" hidden="1">
      <c r="A276" s="175"/>
      <c r="B276" s="169" t="s">
        <v>330</v>
      </c>
      <c r="C276" s="41">
        <f>C277+C278</f>
        <v>1722.1</v>
      </c>
      <c r="D276" s="41">
        <f t="shared" ref="D276:J276" si="51">D277+D278</f>
        <v>1797.2</v>
      </c>
      <c r="E276" s="30">
        <f t="shared" si="51"/>
        <v>2081.2999999999997</v>
      </c>
      <c r="F276" s="30">
        <f t="shared" si="51"/>
        <v>1722.1</v>
      </c>
      <c r="G276" s="30">
        <f t="shared" si="51"/>
        <v>2076.4</v>
      </c>
      <c r="H276" s="30">
        <f t="shared" si="50"/>
        <v>4.8999999999996362</v>
      </c>
      <c r="I276" s="107">
        <f>G276/G297</f>
        <v>3.3662981096592198E-3</v>
      </c>
      <c r="J276" s="30">
        <f t="shared" si="51"/>
        <v>0</v>
      </c>
      <c r="K276" s="155" t="e">
        <f>IF(#REF!=0,"0,0%",J276/#REF!)</f>
        <v>#REF!</v>
      </c>
      <c r="L276" s="21">
        <f t="shared" si="47"/>
        <v>-4.8999999999996362</v>
      </c>
      <c r="M276" s="22">
        <f t="shared" si="48"/>
        <v>0.99764570220535265</v>
      </c>
      <c r="N276" s="17">
        <f t="shared" si="49"/>
        <v>354.30000000000018</v>
      </c>
      <c r="O276" s="122">
        <f>O277+O278</f>
        <v>1953.7</v>
      </c>
      <c r="P276" s="122">
        <f>P277+P278</f>
        <v>1931.9</v>
      </c>
      <c r="Q276" s="155">
        <f t="shared" si="45"/>
        <v>0.98884168500793368</v>
      </c>
      <c r="R276" s="122">
        <f>R277+R278</f>
        <v>2052</v>
      </c>
      <c r="S276" s="122">
        <f>S277+S278</f>
        <v>2025</v>
      </c>
      <c r="T276" s="155">
        <f t="shared" si="46"/>
        <v>0.98684210526315785</v>
      </c>
    </row>
    <row r="277" spans="1:20" s="161" customFormat="1" ht="16.5" hidden="1">
      <c r="A277" s="168" t="s">
        <v>298</v>
      </c>
      <c r="B277" s="170" t="s">
        <v>116</v>
      </c>
      <c r="C277" s="30">
        <f>1174.8+354.8</f>
        <v>1529.6</v>
      </c>
      <c r="D277" s="30">
        <v>1620</v>
      </c>
      <c r="E277" s="30">
        <v>1904.1</v>
      </c>
      <c r="F277" s="30">
        <f>1174.8+354.8</f>
        <v>1529.6</v>
      </c>
      <c r="G277" s="30">
        <v>1904</v>
      </c>
      <c r="H277" s="30">
        <f t="shared" si="50"/>
        <v>9.9999999999909051E-2</v>
      </c>
      <c r="I277" s="107">
        <f>G277/G297</f>
        <v>3.0868000389092441E-3</v>
      </c>
      <c r="J277" s="30">
        <v>0</v>
      </c>
      <c r="K277" s="155" t="e">
        <f>IF(#REF!=0,"0,0%",J277/#REF!)</f>
        <v>#REF!</v>
      </c>
      <c r="L277" s="21">
        <f t="shared" si="47"/>
        <v>-9.9999999999909051E-2</v>
      </c>
      <c r="M277" s="22">
        <f t="shared" si="48"/>
        <v>0.99994748174990811</v>
      </c>
      <c r="N277" s="17">
        <f t="shared" si="49"/>
        <v>374.40000000000009</v>
      </c>
      <c r="O277" s="122">
        <v>1708.7</v>
      </c>
      <c r="P277" s="122">
        <v>1708.7</v>
      </c>
      <c r="Q277" s="155">
        <f t="shared" si="45"/>
        <v>1</v>
      </c>
      <c r="R277" s="122">
        <v>1795</v>
      </c>
      <c r="S277" s="122">
        <v>1795</v>
      </c>
      <c r="T277" s="155">
        <f t="shared" si="46"/>
        <v>1</v>
      </c>
    </row>
    <row r="278" spans="1:20" s="161" customFormat="1" ht="16.5" hidden="1">
      <c r="A278" s="168"/>
      <c r="B278" s="170" t="s">
        <v>122</v>
      </c>
      <c r="C278" s="30">
        <v>192.5</v>
      </c>
      <c r="D278" s="30">
        <v>177.2</v>
      </c>
      <c r="E278" s="30">
        <v>177.2</v>
      </c>
      <c r="F278" s="30">
        <v>192.5</v>
      </c>
      <c r="G278" s="30">
        <v>172.4</v>
      </c>
      <c r="H278" s="30">
        <f t="shared" si="50"/>
        <v>4.7999999999999829</v>
      </c>
      <c r="I278" s="107">
        <f>G278/G297</f>
        <v>2.7949807074997569E-4</v>
      </c>
      <c r="J278" s="30">
        <v>0</v>
      </c>
      <c r="K278" s="155" t="e">
        <f>IF(#REF!=0,"0,0%",J278/#REF!)</f>
        <v>#REF!</v>
      </c>
      <c r="L278" s="21">
        <f t="shared" si="47"/>
        <v>-4.7999999999999829</v>
      </c>
      <c r="M278" s="22">
        <f t="shared" si="48"/>
        <v>0.97291196388261858</v>
      </c>
      <c r="N278" s="17">
        <f t="shared" si="49"/>
        <v>-20.099999999999994</v>
      </c>
      <c r="O278" s="122">
        <v>245</v>
      </c>
      <c r="P278" s="122">
        <v>223.2</v>
      </c>
      <c r="Q278" s="155">
        <f t="shared" si="45"/>
        <v>0.91102040816326524</v>
      </c>
      <c r="R278" s="122">
        <v>257</v>
      </c>
      <c r="S278" s="122">
        <v>230</v>
      </c>
      <c r="T278" s="155">
        <f t="shared" si="46"/>
        <v>0.89494163424124518</v>
      </c>
    </row>
    <row r="279" spans="1:20" s="61" customFormat="1" ht="16.5">
      <c r="A279" s="119">
        <v>1000</v>
      </c>
      <c r="B279" s="109" t="s">
        <v>331</v>
      </c>
      <c r="C279" s="98">
        <f>C281+C282</f>
        <v>1589.1</v>
      </c>
      <c r="D279" s="98">
        <f>D281+D282</f>
        <v>267.8</v>
      </c>
      <c r="E279" s="98">
        <f>E281+E282+E283</f>
        <v>530.79999999999995</v>
      </c>
      <c r="F279" s="98">
        <f>F281+F282+F283</f>
        <v>1301</v>
      </c>
      <c r="G279" s="98">
        <f>G281+G282+G283</f>
        <v>505.1</v>
      </c>
      <c r="H279" s="60">
        <f t="shared" si="50"/>
        <v>25.699999999999932</v>
      </c>
      <c r="I279" s="107">
        <f>G279/G297</f>
        <v>8.1887746830517825E-4</v>
      </c>
      <c r="J279" s="60">
        <f>J281+J282</f>
        <v>592.70000000000005</v>
      </c>
      <c r="K279" s="20" t="e">
        <f>IF(#REF!=0,"0,0%",J279/#REF!)</f>
        <v>#REF!</v>
      </c>
      <c r="L279" s="21">
        <f t="shared" si="47"/>
        <v>-25.699999999999932</v>
      </c>
      <c r="M279" s="22">
        <f t="shared" si="48"/>
        <v>0.95158251695553897</v>
      </c>
      <c r="N279" s="17">
        <f t="shared" si="49"/>
        <v>-795.9</v>
      </c>
      <c r="O279" s="60">
        <f>O281+O282</f>
        <v>325.7</v>
      </c>
      <c r="P279" s="60">
        <f>P281+P282</f>
        <v>282.2</v>
      </c>
      <c r="Q279" s="20">
        <f t="shared" si="45"/>
        <v>0.8664415105925698</v>
      </c>
      <c r="R279" s="60">
        <f>R281+R282</f>
        <v>341.9</v>
      </c>
      <c r="S279" s="60">
        <f>S281+S282</f>
        <v>296.2</v>
      </c>
      <c r="T279" s="20">
        <f t="shared" si="46"/>
        <v>0.86633518572682078</v>
      </c>
    </row>
    <row r="280" spans="1:20" ht="16.5" hidden="1">
      <c r="A280" s="8"/>
      <c r="B280" s="52" t="s">
        <v>139</v>
      </c>
      <c r="C280" s="30"/>
      <c r="D280" s="30"/>
      <c r="E280" s="176"/>
      <c r="F280" s="30"/>
      <c r="G280" s="176"/>
      <c r="H280" s="176"/>
      <c r="I280" s="107"/>
      <c r="J280" s="30"/>
      <c r="K280" s="32"/>
      <c r="L280" s="21"/>
      <c r="M280" s="22"/>
      <c r="N280" s="17"/>
      <c r="O280" s="30"/>
      <c r="P280" s="30"/>
      <c r="Q280" s="32"/>
      <c r="R280" s="30"/>
      <c r="S280" s="30"/>
      <c r="T280" s="32"/>
    </row>
    <row r="281" spans="1:20" ht="16.5" hidden="1">
      <c r="A281" s="8">
        <v>2500050</v>
      </c>
      <c r="B281" s="40" t="s">
        <v>332</v>
      </c>
      <c r="C281" s="30">
        <f>275+142.1</f>
        <v>417.1</v>
      </c>
      <c r="D281" s="30">
        <f>267.8</f>
        <v>267.8</v>
      </c>
      <c r="E281" s="30">
        <v>267.8</v>
      </c>
      <c r="F281" s="30">
        <v>275</v>
      </c>
      <c r="G281" s="30">
        <v>242.1</v>
      </c>
      <c r="H281" s="30">
        <f t="shared" si="50"/>
        <v>25.700000000000017</v>
      </c>
      <c r="I281" s="107">
        <f>G281/G297</f>
        <v>3.924970007457605E-4</v>
      </c>
      <c r="J281" s="55">
        <v>592.70000000000005</v>
      </c>
      <c r="K281" s="32" t="e">
        <f>IF(#REF!=0,"0,0%",J281/#REF!)</f>
        <v>#REF!</v>
      </c>
      <c r="L281" s="21">
        <f t="shared" si="47"/>
        <v>-25.700000000000017</v>
      </c>
      <c r="M281" s="22">
        <f t="shared" si="48"/>
        <v>0.90403286034353991</v>
      </c>
      <c r="N281" s="17">
        <f t="shared" si="49"/>
        <v>-32.900000000000006</v>
      </c>
      <c r="O281" s="30">
        <v>325.7</v>
      </c>
      <c r="P281" s="55">
        <v>282.2</v>
      </c>
      <c r="Q281" s="32">
        <f t="shared" si="45"/>
        <v>0.8664415105925698</v>
      </c>
      <c r="R281" s="30">
        <v>341.9</v>
      </c>
      <c r="S281" s="55">
        <v>296.2</v>
      </c>
      <c r="T281" s="32">
        <f t="shared" si="46"/>
        <v>0.86633518572682078</v>
      </c>
    </row>
    <row r="282" spans="1:20" ht="16.5" hidden="1">
      <c r="A282" s="114" t="s">
        <v>333</v>
      </c>
      <c r="B282" s="52" t="s">
        <v>334</v>
      </c>
      <c r="C282" s="55">
        <f>1026+146</f>
        <v>1172</v>
      </c>
      <c r="D282" s="55">
        <v>0</v>
      </c>
      <c r="E282" s="55">
        <v>263</v>
      </c>
      <c r="F282" s="55">
        <v>1026</v>
      </c>
      <c r="G282" s="55">
        <v>263</v>
      </c>
      <c r="H282" s="55">
        <f t="shared" si="50"/>
        <v>0</v>
      </c>
      <c r="I282" s="107">
        <f>G282/G297</f>
        <v>4.2638046755941764E-4</v>
      </c>
      <c r="J282" s="41">
        <v>0</v>
      </c>
      <c r="K282" s="32" t="e">
        <f>IF(#REF!=0,"0,0%",J282/#REF!)</f>
        <v>#REF!</v>
      </c>
      <c r="L282" s="21">
        <f t="shared" si="47"/>
        <v>0</v>
      </c>
      <c r="M282" s="22">
        <f t="shared" si="48"/>
        <v>1</v>
      </c>
      <c r="N282" s="17">
        <f t="shared" si="49"/>
        <v>-763</v>
      </c>
      <c r="O282" s="55">
        <v>0</v>
      </c>
      <c r="P282" s="41">
        <v>0</v>
      </c>
      <c r="Q282" s="32" t="str">
        <f t="shared" si="45"/>
        <v>0,0%</v>
      </c>
      <c r="R282" s="55">
        <v>0</v>
      </c>
      <c r="S282" s="41">
        <v>0</v>
      </c>
      <c r="T282" s="32" t="str">
        <f t="shared" si="46"/>
        <v>0,0%</v>
      </c>
    </row>
    <row r="283" spans="1:20" ht="16.5" hidden="1">
      <c r="A283" s="114" t="s">
        <v>335</v>
      </c>
      <c r="B283" s="52" t="s">
        <v>336</v>
      </c>
      <c r="C283" s="55">
        <v>0</v>
      </c>
      <c r="D283" s="55">
        <v>0</v>
      </c>
      <c r="E283" s="55"/>
      <c r="F283" s="55"/>
      <c r="G283" s="55"/>
      <c r="H283" s="55">
        <f t="shared" si="50"/>
        <v>0</v>
      </c>
      <c r="I283" s="107">
        <f>G283/G297</f>
        <v>0</v>
      </c>
      <c r="J283" s="41">
        <v>0</v>
      </c>
      <c r="K283" s="32" t="e">
        <f>IF(#REF!=0,"0,0%",J283/#REF!)</f>
        <v>#REF!</v>
      </c>
      <c r="L283" s="21">
        <f t="shared" si="47"/>
        <v>0</v>
      </c>
      <c r="M283" s="22" t="e">
        <f t="shared" si="48"/>
        <v>#DIV/0!</v>
      </c>
      <c r="N283" s="17">
        <f t="shared" si="49"/>
        <v>0</v>
      </c>
      <c r="O283" s="55"/>
      <c r="P283" s="41"/>
      <c r="Q283" s="32"/>
      <c r="R283" s="55"/>
      <c r="S283" s="41"/>
      <c r="T283" s="32"/>
    </row>
    <row r="284" spans="1:20" s="164" customFormat="1" ht="16.5">
      <c r="A284" s="108" t="s">
        <v>337</v>
      </c>
      <c r="B284" s="109" t="s">
        <v>338</v>
      </c>
      <c r="C284" s="98">
        <f>C286+C293+C294</f>
        <v>4424.2999999999993</v>
      </c>
      <c r="D284" s="98">
        <f>D286+D293+D294</f>
        <v>5571.6</v>
      </c>
      <c r="E284" s="98">
        <f>E286+E293+E294</f>
        <v>4971.3999999999996</v>
      </c>
      <c r="F284" s="98">
        <f>F286+F293+F294</f>
        <v>4424.2999999999993</v>
      </c>
      <c r="G284" s="98">
        <f>G286+G293+G294</f>
        <v>4857</v>
      </c>
      <c r="H284" s="60">
        <f t="shared" si="50"/>
        <v>114.39999999999964</v>
      </c>
      <c r="I284" s="107">
        <f>G284/G297</f>
        <v>7.8742582925326668E-3</v>
      </c>
      <c r="J284" s="60" t="e">
        <f>J286+J293+J294+#REF!</f>
        <v>#REF!</v>
      </c>
      <c r="K284" s="160" t="e">
        <f>IF(#REF!=0,"0,0%",J284/#REF!)</f>
        <v>#REF!</v>
      </c>
      <c r="L284" s="21">
        <f t="shared" si="47"/>
        <v>-114.39999999999964</v>
      </c>
      <c r="M284" s="22">
        <f t="shared" si="48"/>
        <v>0.97698837349639944</v>
      </c>
      <c r="N284" s="17">
        <f t="shared" si="49"/>
        <v>432.70000000000073</v>
      </c>
      <c r="O284" s="120" t="e">
        <f>O285+#REF!+#REF!</f>
        <v>#REF!</v>
      </c>
      <c r="P284" s="120" t="e">
        <f>P285+#REF!+#REF!</f>
        <v>#REF!</v>
      </c>
      <c r="Q284" s="160" t="e">
        <f t="shared" si="45"/>
        <v>#REF!</v>
      </c>
      <c r="R284" s="120" t="e">
        <f>R285+#REF!+#REF!</f>
        <v>#REF!</v>
      </c>
      <c r="S284" s="120" t="e">
        <f>S285+#REF!+#REF!</f>
        <v>#REF!</v>
      </c>
      <c r="T284" s="160" t="e">
        <f t="shared" si="46"/>
        <v>#REF!</v>
      </c>
    </row>
    <row r="285" spans="1:20" s="164" customFormat="1" ht="33">
      <c r="A285" s="125"/>
      <c r="B285" s="40" t="s">
        <v>339</v>
      </c>
      <c r="C285" s="30">
        <f>C286</f>
        <v>3672.7</v>
      </c>
      <c r="D285" s="30">
        <f>D286</f>
        <v>4502.1000000000004</v>
      </c>
      <c r="E285" s="30">
        <f>E286</f>
        <v>3991.5</v>
      </c>
      <c r="F285" s="30">
        <f>F286</f>
        <v>3672.7</v>
      </c>
      <c r="G285" s="30">
        <f>G286</f>
        <v>3890.6</v>
      </c>
      <c r="H285" s="30">
        <f t="shared" si="50"/>
        <v>100.90000000000009</v>
      </c>
      <c r="I285" s="162">
        <f>G285/G297</f>
        <v>6.3075127265652866E-3</v>
      </c>
      <c r="J285" s="30">
        <f>J286</f>
        <v>4143.7</v>
      </c>
      <c r="K285" s="155" t="e">
        <f>IF(#REF!=0,"0,0%",J285/#REF!)</f>
        <v>#REF!</v>
      </c>
      <c r="L285" s="163">
        <f t="shared" si="47"/>
        <v>-100.90000000000009</v>
      </c>
      <c r="M285" s="158">
        <f t="shared" si="48"/>
        <v>0.97472128272579228</v>
      </c>
      <c r="N285" s="17">
        <f t="shared" si="49"/>
        <v>217.90000000000009</v>
      </c>
      <c r="O285" s="120" t="e">
        <f>O286+#REF!</f>
        <v>#REF!</v>
      </c>
      <c r="P285" s="120" t="e">
        <f>P286+#REF!</f>
        <v>#REF!</v>
      </c>
      <c r="Q285" s="160" t="e">
        <f t="shared" si="45"/>
        <v>#REF!</v>
      </c>
      <c r="R285" s="120" t="e">
        <f>R286+#REF!</f>
        <v>#REF!</v>
      </c>
      <c r="S285" s="120" t="e">
        <f>S286+#REF!</f>
        <v>#REF!</v>
      </c>
      <c r="T285" s="160" t="e">
        <f t="shared" si="46"/>
        <v>#REF!</v>
      </c>
    </row>
    <row r="286" spans="1:20" s="164" customFormat="1" ht="27.75" customHeight="1">
      <c r="A286" s="8">
        <v>611</v>
      </c>
      <c r="B286" s="121" t="s">
        <v>138</v>
      </c>
      <c r="C286" s="30">
        <f>SUM(C288:C292)</f>
        <v>3672.7</v>
      </c>
      <c r="D286" s="30">
        <f>SUM(D288:D292)</f>
        <v>4502.1000000000004</v>
      </c>
      <c r="E286" s="30">
        <f>SUM(E288:E292)</f>
        <v>3991.5</v>
      </c>
      <c r="F286" s="30">
        <f>SUM(F288:F292)</f>
        <v>3672.7</v>
      </c>
      <c r="G286" s="30">
        <f>SUM(G288:G292)</f>
        <v>3890.6</v>
      </c>
      <c r="H286" s="30">
        <f t="shared" si="50"/>
        <v>100.90000000000009</v>
      </c>
      <c r="I286" s="162">
        <f>G286/G297</f>
        <v>6.3075127265652866E-3</v>
      </c>
      <c r="J286" s="30">
        <f>SUM(J288:J292)</f>
        <v>4143.7</v>
      </c>
      <c r="K286" s="155" t="e">
        <f>IF(#REF!=0,"0,0%",J286/#REF!)</f>
        <v>#REF!</v>
      </c>
      <c r="L286" s="163">
        <f t="shared" si="47"/>
        <v>-100.90000000000009</v>
      </c>
      <c r="M286" s="158">
        <f t="shared" si="48"/>
        <v>0.97472128272579228</v>
      </c>
      <c r="N286" s="17">
        <f t="shared" si="49"/>
        <v>217.90000000000009</v>
      </c>
      <c r="O286" s="120" t="e">
        <f>O288+#REF!+O289+O290+#REF!+#REF!+O291+O292+#REF!</f>
        <v>#REF!</v>
      </c>
      <c r="P286" s="120" t="e">
        <f>P288+#REF!+P289+P290+#REF!+#REF!+P291+P292+#REF!</f>
        <v>#REF!</v>
      </c>
      <c r="Q286" s="160" t="e">
        <f t="shared" si="45"/>
        <v>#REF!</v>
      </c>
      <c r="R286" s="120" t="e">
        <f>R288+#REF!+R289+R290+#REF!+#REF!+R291+R292+#REF!</f>
        <v>#REF!</v>
      </c>
      <c r="S286" s="120" t="e">
        <f>S288+#REF!+S289+S290+#REF!+#REF!+S291+S292+#REF!</f>
        <v>#REF!</v>
      </c>
      <c r="T286" s="160" t="e">
        <f t="shared" si="46"/>
        <v>#REF!</v>
      </c>
    </row>
    <row r="287" spans="1:20" s="161" customFormat="1" ht="16.5" hidden="1">
      <c r="A287" s="166"/>
      <c r="B287" s="150" t="s">
        <v>139</v>
      </c>
      <c r="C287" s="30"/>
      <c r="D287" s="30"/>
      <c r="E287" s="30"/>
      <c r="F287" s="30"/>
      <c r="G287" s="30"/>
      <c r="H287" s="30"/>
      <c r="I287" s="162"/>
      <c r="J287" s="30"/>
      <c r="K287" s="155"/>
      <c r="L287" s="163"/>
      <c r="M287" s="158"/>
      <c r="N287" s="17"/>
      <c r="O287" s="122"/>
      <c r="P287" s="122"/>
      <c r="Q287" s="155"/>
      <c r="R287" s="122"/>
      <c r="S287" s="122"/>
      <c r="T287" s="155"/>
    </row>
    <row r="288" spans="1:20" s="161" customFormat="1" ht="16.5" hidden="1">
      <c r="A288" s="175"/>
      <c r="B288" s="126" t="s">
        <v>307</v>
      </c>
      <c r="C288" s="30">
        <v>3082.8</v>
      </c>
      <c r="D288" s="30">
        <v>3273.8</v>
      </c>
      <c r="E288" s="30">
        <v>3301.7</v>
      </c>
      <c r="F288" s="30">
        <v>3082.8</v>
      </c>
      <c r="G288" s="30">
        <v>3301.7</v>
      </c>
      <c r="H288" s="30">
        <f t="shared" si="50"/>
        <v>0</v>
      </c>
      <c r="I288" s="162">
        <f>G288/G297</f>
        <v>5.3527771473039134E-3</v>
      </c>
      <c r="J288" s="30">
        <v>3452.8</v>
      </c>
      <c r="K288" s="155" t="e">
        <f>IF(#REF!=0,"0,0%",J288/#REF!)</f>
        <v>#REF!</v>
      </c>
      <c r="L288" s="163">
        <f t="shared" si="47"/>
        <v>0</v>
      </c>
      <c r="M288" s="158">
        <f t="shared" si="48"/>
        <v>1</v>
      </c>
      <c r="N288" s="17">
        <f t="shared" si="49"/>
        <v>218.89999999999964</v>
      </c>
      <c r="O288" s="122">
        <v>2652</v>
      </c>
      <c r="P288" s="122">
        <v>2652</v>
      </c>
      <c r="Q288" s="155">
        <f t="shared" si="45"/>
        <v>1</v>
      </c>
      <c r="R288" s="122">
        <v>2785.9</v>
      </c>
      <c r="S288" s="122">
        <v>2785.9</v>
      </c>
      <c r="T288" s="155">
        <f t="shared" si="46"/>
        <v>1</v>
      </c>
    </row>
    <row r="289" spans="1:21" s="161" customFormat="1" ht="16.5" hidden="1">
      <c r="A289" s="175"/>
      <c r="B289" s="126" t="s">
        <v>142</v>
      </c>
      <c r="C289" s="30">
        <v>6.7</v>
      </c>
      <c r="D289" s="30">
        <v>15.1</v>
      </c>
      <c r="E289" s="30">
        <v>8.1</v>
      </c>
      <c r="F289" s="30">
        <v>6.7</v>
      </c>
      <c r="G289" s="30">
        <v>8</v>
      </c>
      <c r="H289" s="30">
        <f t="shared" si="50"/>
        <v>9.9999999999999645E-2</v>
      </c>
      <c r="I289" s="162">
        <f>G289/G297</f>
        <v>1.2969748062643884E-5</v>
      </c>
      <c r="J289" s="30">
        <v>16</v>
      </c>
      <c r="K289" s="155" t="e">
        <f>IF(#REF!=0,"0,0%",J289/#REF!)</f>
        <v>#REF!</v>
      </c>
      <c r="L289" s="163">
        <f t="shared" si="47"/>
        <v>-9.9999999999999645E-2</v>
      </c>
      <c r="M289" s="158">
        <f t="shared" si="48"/>
        <v>0.98765432098765438</v>
      </c>
      <c r="N289" s="17">
        <f t="shared" si="49"/>
        <v>1.2999999999999998</v>
      </c>
      <c r="O289" s="122">
        <v>16</v>
      </c>
      <c r="P289" s="122">
        <v>16</v>
      </c>
      <c r="Q289" s="155">
        <f t="shared" si="45"/>
        <v>1</v>
      </c>
      <c r="R289" s="122">
        <v>16.8</v>
      </c>
      <c r="S289" s="122">
        <v>16.8</v>
      </c>
      <c r="T289" s="155">
        <f t="shared" si="46"/>
        <v>1</v>
      </c>
    </row>
    <row r="290" spans="1:21" s="161" customFormat="1" ht="16.5" hidden="1">
      <c r="A290" s="175"/>
      <c r="B290" s="126" t="s">
        <v>143</v>
      </c>
      <c r="C290" s="30">
        <v>403.2</v>
      </c>
      <c r="D290" s="30">
        <v>961.4</v>
      </c>
      <c r="E290" s="30">
        <v>521.70000000000005</v>
      </c>
      <c r="F290" s="30">
        <v>403.2</v>
      </c>
      <c r="G290" s="30">
        <v>421.6</v>
      </c>
      <c r="H290" s="30">
        <f t="shared" si="50"/>
        <v>100.10000000000002</v>
      </c>
      <c r="I290" s="162">
        <f>G290/G297</f>
        <v>6.835057229013327E-4</v>
      </c>
      <c r="J290" s="30">
        <v>446.4</v>
      </c>
      <c r="K290" s="155" t="e">
        <f>IF(#REF!=0,"0,0%",J290/#REF!)</f>
        <v>#REF!</v>
      </c>
      <c r="L290" s="163">
        <f t="shared" si="47"/>
        <v>-100.10000000000002</v>
      </c>
      <c r="M290" s="158">
        <f t="shared" si="48"/>
        <v>0.80812727621238256</v>
      </c>
      <c r="N290" s="17">
        <f t="shared" si="49"/>
        <v>18.400000000000034</v>
      </c>
      <c r="O290" s="122">
        <v>1084.0999999999999</v>
      </c>
      <c r="P290" s="122">
        <v>1084.0999999999999</v>
      </c>
      <c r="Q290" s="155">
        <f t="shared" si="45"/>
        <v>1</v>
      </c>
      <c r="R290" s="122">
        <v>1196.9000000000001</v>
      </c>
      <c r="S290" s="122">
        <v>1196.9000000000001</v>
      </c>
      <c r="T290" s="155">
        <f t="shared" si="46"/>
        <v>1</v>
      </c>
    </row>
    <row r="291" spans="1:21" s="161" customFormat="1" ht="16.5" hidden="1">
      <c r="A291" s="175"/>
      <c r="B291" s="126" t="s">
        <v>308</v>
      </c>
      <c r="C291" s="30">
        <v>73.099999999999994</v>
      </c>
      <c r="D291" s="30">
        <v>96.6</v>
      </c>
      <c r="E291" s="30">
        <v>101.5</v>
      </c>
      <c r="F291" s="30">
        <v>73.099999999999994</v>
      </c>
      <c r="G291" s="30">
        <v>101.5</v>
      </c>
      <c r="H291" s="30">
        <f t="shared" si="50"/>
        <v>0</v>
      </c>
      <c r="I291" s="162">
        <f>G291/G297</f>
        <v>1.6455367854479425E-4</v>
      </c>
      <c r="J291" s="55">
        <v>96.6</v>
      </c>
      <c r="K291" s="155" t="e">
        <f>IF(#REF!=0,"0,0%",J291/#REF!)</f>
        <v>#REF!</v>
      </c>
      <c r="L291" s="163">
        <f t="shared" si="47"/>
        <v>0</v>
      </c>
      <c r="M291" s="158">
        <f t="shared" si="48"/>
        <v>1</v>
      </c>
      <c r="N291" s="17">
        <f t="shared" si="49"/>
        <v>28.400000000000006</v>
      </c>
      <c r="O291" s="122">
        <v>96.6</v>
      </c>
      <c r="P291" s="154">
        <v>96.6</v>
      </c>
      <c r="Q291" s="155">
        <f t="shared" si="45"/>
        <v>1</v>
      </c>
      <c r="R291" s="122">
        <v>96.5</v>
      </c>
      <c r="S291" s="154">
        <v>96.5</v>
      </c>
      <c r="T291" s="155">
        <f t="shared" si="46"/>
        <v>1</v>
      </c>
    </row>
    <row r="292" spans="1:21" s="161" customFormat="1" ht="16.5" hidden="1">
      <c r="A292" s="175"/>
      <c r="B292" s="126" t="s">
        <v>146</v>
      </c>
      <c r="C292" s="30">
        <v>106.9</v>
      </c>
      <c r="D292" s="30">
        <v>155.19999999999999</v>
      </c>
      <c r="E292" s="30">
        <f>58.4+0.1</f>
        <v>58.5</v>
      </c>
      <c r="F292" s="30">
        <v>106.9</v>
      </c>
      <c r="G292" s="30">
        <v>57.8</v>
      </c>
      <c r="H292" s="30">
        <f t="shared" si="50"/>
        <v>0.70000000000000284</v>
      </c>
      <c r="I292" s="162">
        <f>G292/G297</f>
        <v>9.3706429752602049E-5</v>
      </c>
      <c r="J292" s="30">
        <v>131.9</v>
      </c>
      <c r="K292" s="155" t="e">
        <f>IF(#REF!=0,"0,0%",J292/#REF!)</f>
        <v>#REF!</v>
      </c>
      <c r="L292" s="163">
        <f t="shared" si="47"/>
        <v>-0.70000000000000284</v>
      </c>
      <c r="M292" s="158">
        <f t="shared" si="48"/>
        <v>0.98803418803418797</v>
      </c>
      <c r="N292" s="17">
        <f t="shared" si="49"/>
        <v>-49.100000000000009</v>
      </c>
      <c r="O292" s="122">
        <v>0</v>
      </c>
      <c r="P292" s="122">
        <v>0</v>
      </c>
      <c r="Q292" s="155" t="str">
        <f t="shared" si="45"/>
        <v>0,0%</v>
      </c>
      <c r="R292" s="122">
        <v>0</v>
      </c>
      <c r="S292" s="122">
        <v>0</v>
      </c>
      <c r="T292" s="155" t="str">
        <f t="shared" si="46"/>
        <v>0,0%</v>
      </c>
    </row>
    <row r="293" spans="1:21" s="164" customFormat="1" ht="82.5">
      <c r="A293" s="166">
        <v>7950600</v>
      </c>
      <c r="B293" s="126" t="s">
        <v>340</v>
      </c>
      <c r="C293" s="55">
        <f>87.8+623.8</f>
        <v>711.59999999999991</v>
      </c>
      <c r="D293" s="55">
        <f>182.5+806.4</f>
        <v>988.9</v>
      </c>
      <c r="E293" s="55">
        <v>966.9</v>
      </c>
      <c r="F293" s="55">
        <f>87.8+623.8</f>
        <v>711.59999999999991</v>
      </c>
      <c r="G293" s="55">
        <v>953.4</v>
      </c>
      <c r="H293" s="55">
        <f t="shared" si="50"/>
        <v>13.5</v>
      </c>
      <c r="I293" s="162">
        <f>G293/G297</f>
        <v>1.5456697253655848E-3</v>
      </c>
      <c r="J293" s="55" t="e">
        <f>SUM(#REF!)</f>
        <v>#REF!</v>
      </c>
      <c r="K293" s="155" t="e">
        <f>IF(#REF!=0,"0,0%",J293/#REF!)</f>
        <v>#REF!</v>
      </c>
      <c r="L293" s="163">
        <f t="shared" si="47"/>
        <v>-13.5</v>
      </c>
      <c r="M293" s="158">
        <f t="shared" si="48"/>
        <v>0.98603785293205093</v>
      </c>
      <c r="N293" s="17">
        <f t="shared" si="49"/>
        <v>241.80000000000007</v>
      </c>
      <c r="O293" s="129" t="e">
        <f>#REF!+#REF!</f>
        <v>#REF!</v>
      </c>
      <c r="P293" s="129" t="e">
        <f>#REF!+#REF!</f>
        <v>#REF!</v>
      </c>
      <c r="Q293" s="160" t="e">
        <f t="shared" si="45"/>
        <v>#REF!</v>
      </c>
      <c r="R293" s="129" t="e">
        <f>#REF!+#REF!</f>
        <v>#REF!</v>
      </c>
      <c r="S293" s="129" t="e">
        <f>#REF!+#REF!</f>
        <v>#REF!</v>
      </c>
      <c r="T293" s="160" t="e">
        <f t="shared" si="46"/>
        <v>#REF!</v>
      </c>
    </row>
    <row r="294" spans="1:21" s="164" customFormat="1" ht="66">
      <c r="A294" s="166">
        <v>7950800</v>
      </c>
      <c r="B294" s="126" t="s">
        <v>260</v>
      </c>
      <c r="C294" s="55">
        <v>40</v>
      </c>
      <c r="D294" s="55">
        <v>80.599999999999994</v>
      </c>
      <c r="E294" s="55">
        <v>13</v>
      </c>
      <c r="F294" s="55">
        <v>40</v>
      </c>
      <c r="G294" s="55">
        <v>13</v>
      </c>
      <c r="H294" s="55">
        <f t="shared" si="50"/>
        <v>0</v>
      </c>
      <c r="I294" s="162">
        <f>G294/G297</f>
        <v>2.1075840601796311E-5</v>
      </c>
      <c r="J294" s="55">
        <v>0</v>
      </c>
      <c r="K294" s="155" t="e">
        <f>IF(#REF!=0,"0,0%",J294/#REF!)</f>
        <v>#REF!</v>
      </c>
      <c r="L294" s="163">
        <f t="shared" si="47"/>
        <v>0</v>
      </c>
      <c r="M294" s="158">
        <f t="shared" si="48"/>
        <v>1</v>
      </c>
      <c r="N294" s="17">
        <f t="shared" si="49"/>
        <v>-27</v>
      </c>
      <c r="O294" s="129">
        <v>131.19999999999999</v>
      </c>
      <c r="P294" s="129">
        <v>131.19999999999999</v>
      </c>
      <c r="Q294" s="160">
        <f>IF(O294=0,"0,0%",P294/O294)</f>
        <v>1</v>
      </c>
      <c r="R294" s="129">
        <v>131.19999999999999</v>
      </c>
      <c r="S294" s="129">
        <v>131.19999999999999</v>
      </c>
      <c r="T294" s="160">
        <f>IF(R294=0,"0,0%",S294/R294)</f>
        <v>1</v>
      </c>
    </row>
    <row r="295" spans="1:21" s="61" customFormat="1" ht="16.5">
      <c r="A295" s="108" t="s">
        <v>341</v>
      </c>
      <c r="B295" s="109" t="s">
        <v>342</v>
      </c>
      <c r="C295" s="98">
        <v>3940.8</v>
      </c>
      <c r="D295" s="98">
        <v>3918.6</v>
      </c>
      <c r="E295" s="98">
        <v>4742</v>
      </c>
      <c r="F295" s="98">
        <v>3940.8</v>
      </c>
      <c r="G295" s="98">
        <v>4742</v>
      </c>
      <c r="H295" s="60">
        <f t="shared" si="50"/>
        <v>0</v>
      </c>
      <c r="I295" s="107">
        <f>G295/G297</f>
        <v>7.6878181641321618E-3</v>
      </c>
      <c r="J295" s="60">
        <v>5207.7</v>
      </c>
      <c r="K295" s="20" t="e">
        <f>IF(#REF!=0,"0,0%",J295/#REF!)</f>
        <v>#REF!</v>
      </c>
      <c r="L295" s="21">
        <f t="shared" si="47"/>
        <v>0</v>
      </c>
      <c r="M295" s="22">
        <f t="shared" si="48"/>
        <v>1</v>
      </c>
      <c r="N295" s="17">
        <f t="shared" si="49"/>
        <v>801.19999999999982</v>
      </c>
      <c r="O295" s="60">
        <v>3923.5</v>
      </c>
      <c r="P295" s="60">
        <v>3923.5</v>
      </c>
      <c r="Q295" s="20">
        <f>IF(O295=0,"0,0%",P295/O295)</f>
        <v>1</v>
      </c>
      <c r="R295" s="60">
        <v>3923.5</v>
      </c>
      <c r="S295" s="60">
        <v>3923.5</v>
      </c>
      <c r="T295" s="20">
        <f>IF(R295=0,"0,0%",S295/R295)</f>
        <v>1</v>
      </c>
    </row>
    <row r="296" spans="1:21" s="61" customFormat="1" ht="33" hidden="1">
      <c r="A296" s="112" t="s">
        <v>343</v>
      </c>
      <c r="B296" s="116" t="s">
        <v>344</v>
      </c>
      <c r="C296" s="60"/>
      <c r="D296" s="60">
        <v>0</v>
      </c>
      <c r="E296" s="60">
        <v>0</v>
      </c>
      <c r="F296" s="60">
        <v>0</v>
      </c>
      <c r="G296" s="60">
        <v>0</v>
      </c>
      <c r="H296" s="60"/>
      <c r="I296" s="107">
        <f>G296/G297</f>
        <v>0</v>
      </c>
      <c r="J296" s="60">
        <f>7609.7+800+20000-1943.5-458.3-1893-400.5-333.2-7609.7</f>
        <v>15771.5</v>
      </c>
      <c r="K296" s="20"/>
      <c r="L296" s="21">
        <f t="shared" si="47"/>
        <v>0</v>
      </c>
      <c r="M296" s="22" t="e">
        <f t="shared" si="48"/>
        <v>#DIV/0!</v>
      </c>
      <c r="N296" s="17">
        <f t="shared" si="49"/>
        <v>0</v>
      </c>
      <c r="O296" s="60"/>
      <c r="P296" s="60"/>
      <c r="Q296" s="20"/>
      <c r="R296" s="60"/>
      <c r="S296" s="60"/>
      <c r="T296" s="20"/>
    </row>
    <row r="297" spans="1:21" s="61" customFormat="1" ht="16.5">
      <c r="A297" s="56"/>
      <c r="B297" s="57" t="s">
        <v>345</v>
      </c>
      <c r="C297" s="21">
        <f>C51+C113+C122+C170+C235+C251+C284+C279+C295+C112+C199</f>
        <v>608213.30000000005</v>
      </c>
      <c r="D297" s="21">
        <f>D295+D284+D279+D251+D235+D170+D122+D113+D51</f>
        <v>509340.80000000005</v>
      </c>
      <c r="E297" s="21">
        <f>E295+E284+E279+E251+E235+E170+E122+E113+E51</f>
        <v>623599.19999999995</v>
      </c>
      <c r="F297" s="21">
        <f>F295+F284+F279+F251+F235+F170+F122+F113+F51</f>
        <v>558672.60000000009</v>
      </c>
      <c r="G297" s="21">
        <f>G295+G284+G279+G251+G235+G170+G122+G113+G51</f>
        <v>616820</v>
      </c>
      <c r="H297" s="21">
        <f>H51+H113+H122+H170+H235+H251+H284+H279+H295+H112+H199+H296</f>
        <v>6779.1999999998998</v>
      </c>
      <c r="I297" s="177">
        <f>G297/G297</f>
        <v>1</v>
      </c>
      <c r="J297" s="21" t="e">
        <f>J51+J113+J122+J170+J235+J251+J284+J279+J295+J112+J199+J296</f>
        <v>#REF!</v>
      </c>
      <c r="K297" s="19" t="e">
        <f>IF(#REF!=0,"0,0%",J297/#REF!)</f>
        <v>#REF!</v>
      </c>
      <c r="L297" s="21">
        <f>G297-E297</f>
        <v>-6779.1999999999534</v>
      </c>
      <c r="M297" s="22">
        <f>G297/E297</f>
        <v>0.98912891485428467</v>
      </c>
      <c r="N297" s="17">
        <f t="shared" si="49"/>
        <v>58147.399999999907</v>
      </c>
      <c r="O297" s="48" t="e">
        <f>O51+O113+O122+O170+O235+O251+O284+O279+O295+#REF!</f>
        <v>#REF!</v>
      </c>
      <c r="P297" s="48" t="e">
        <f>P51+P113+P122+P170+P235+P251+P284+P279+P295+#REF!</f>
        <v>#REF!</v>
      </c>
      <c r="Q297" s="20" t="e">
        <f>IF(O297=0,"0,0%",P297/O297)</f>
        <v>#REF!</v>
      </c>
      <c r="R297" s="48" t="e">
        <f>R51+R113+R122+R170+R235+R251+R284+R279+R295+#REF!</f>
        <v>#REF!</v>
      </c>
      <c r="S297" s="48" t="e">
        <f>S51+S113+S122+S170+S235+S251+S284+S279+S295+#REF!</f>
        <v>#REF!</v>
      </c>
      <c r="T297" s="20" t="e">
        <f>IF(R297=0,"0,0%",S297/R297)</f>
        <v>#REF!</v>
      </c>
      <c r="U297" s="61" t="e">
        <f>#REF!+U212+U211+U203+U136+U131+U101+U61</f>
        <v>#REF!</v>
      </c>
    </row>
    <row r="298" spans="1:21" ht="16.5">
      <c r="A298" s="178"/>
      <c r="B298" s="179"/>
      <c r="C298" s="41"/>
      <c r="D298" s="41"/>
      <c r="E298" s="180"/>
      <c r="F298" s="41"/>
      <c r="G298" s="41"/>
      <c r="H298" s="41"/>
      <c r="I298" s="41"/>
      <c r="J298" s="30"/>
      <c r="K298" s="20"/>
      <c r="L298" s="20"/>
      <c r="M298" s="20"/>
      <c r="N298" s="30"/>
      <c r="O298" s="41"/>
      <c r="P298" s="30"/>
      <c r="Q298" s="20"/>
      <c r="R298" s="41"/>
      <c r="S298" s="30"/>
      <c r="T298" s="20"/>
    </row>
    <row r="299" spans="1:21" ht="16.5">
      <c r="A299" s="14"/>
      <c r="B299" s="106" t="s">
        <v>346</v>
      </c>
      <c r="C299" s="64">
        <f t="shared" ref="C299:H299" si="52">C48-C297</f>
        <v>17606.699999999953</v>
      </c>
      <c r="D299" s="64">
        <f t="shared" si="52"/>
        <v>7999.9999999999418</v>
      </c>
      <c r="E299" s="64">
        <f t="shared" si="52"/>
        <v>-39367.29999999993</v>
      </c>
      <c r="F299" s="64">
        <f t="shared" si="52"/>
        <v>-6769.0000000001164</v>
      </c>
      <c r="G299" s="64">
        <f t="shared" si="52"/>
        <v>-19643.70000000007</v>
      </c>
      <c r="H299" s="64">
        <f t="shared" si="52"/>
        <v>-19723.599999999806</v>
      </c>
      <c r="I299" s="181">
        <f>F299/E299</f>
        <v>0.17194473585946021</v>
      </c>
      <c r="J299" s="64" t="e">
        <f>J48-J297</f>
        <v>#REF!</v>
      </c>
      <c r="K299" s="19" t="e">
        <f>IF(#REF!=0,"0,0%",J299/#REF!)</f>
        <v>#REF!</v>
      </c>
      <c r="L299" s="19"/>
      <c r="M299" s="19"/>
      <c r="N299" s="64">
        <f>N48-N297</f>
        <v>-12874.699999999953</v>
      </c>
      <c r="O299" s="65" t="e">
        <f>O48-O297</f>
        <v>#REF!</v>
      </c>
      <c r="P299" s="65" t="e">
        <f>P48-P297</f>
        <v>#REF!</v>
      </c>
      <c r="Q299" s="20"/>
      <c r="R299" s="65" t="e">
        <f>R48-R297</f>
        <v>#REF!</v>
      </c>
      <c r="S299" s="65" t="e">
        <f>S48-S297</f>
        <v>#REF!</v>
      </c>
      <c r="T299" s="20"/>
    </row>
    <row r="300" spans="1:21" ht="16.5" hidden="1">
      <c r="A300" s="182"/>
      <c r="B300" s="183" t="s">
        <v>347</v>
      </c>
      <c r="C300" s="184">
        <f>-(C48-C33-C9)/100*10</f>
        <v>-51184.229999999996</v>
      </c>
      <c r="D300" s="184">
        <f t="shared" ref="D300:N300" si="53">-(D48-D33-D9)/100*10</f>
        <v>-45977.380000000005</v>
      </c>
      <c r="E300" s="184">
        <f t="shared" si="53"/>
        <v>-51619.880000000005</v>
      </c>
      <c r="F300" s="184">
        <f t="shared" si="53"/>
        <v>-46420.630000000005</v>
      </c>
      <c r="G300" s="184">
        <f t="shared" si="53"/>
        <v>-52914.32</v>
      </c>
      <c r="H300" s="184">
        <f>E300-G300</f>
        <v>1294.4399999999951</v>
      </c>
      <c r="I300" s="185">
        <f>F300/E300</f>
        <v>0.89927814632657033</v>
      </c>
      <c r="J300" s="184">
        <f t="shared" si="53"/>
        <v>-57439.350000000006</v>
      </c>
      <c r="K300" s="186" t="e">
        <f>IF(#REF!=0,"0,0%",J300/#REF!)</f>
        <v>#REF!</v>
      </c>
      <c r="L300" s="186"/>
      <c r="M300" s="186"/>
      <c r="N300" s="184">
        <f t="shared" si="53"/>
        <v>-6493.6899999999951</v>
      </c>
      <c r="O300" s="41"/>
      <c r="P300" s="125"/>
      <c r="Q300" s="187"/>
      <c r="R300" s="41"/>
      <c r="S300" s="125"/>
      <c r="T300" s="187"/>
    </row>
    <row r="301" spans="1:21" ht="16.5" hidden="1">
      <c r="A301" s="182"/>
      <c r="B301" s="183" t="s">
        <v>348</v>
      </c>
      <c r="C301" s="184">
        <f>C299-C300</f>
        <v>68790.929999999949</v>
      </c>
      <c r="D301" s="184">
        <f t="shared" ref="D301:N301" si="54">D299-D300</f>
        <v>53977.379999999946</v>
      </c>
      <c r="E301" s="184">
        <f t="shared" si="54"/>
        <v>12252.580000000075</v>
      </c>
      <c r="F301" s="184">
        <f t="shared" si="54"/>
        <v>39651.629999999888</v>
      </c>
      <c r="G301" s="184">
        <f t="shared" si="54"/>
        <v>33270.61999999993</v>
      </c>
      <c r="H301" s="184">
        <f>E301-G301</f>
        <v>-21018.039999999855</v>
      </c>
      <c r="I301" s="185">
        <f>F301/E301</f>
        <v>3.2361861746668579</v>
      </c>
      <c r="J301" s="184" t="e">
        <f>J299-J300</f>
        <v>#REF!</v>
      </c>
      <c r="K301" s="186" t="e">
        <f>IF(#REF!=0,"0,0%",J301/#REF!)</f>
        <v>#REF!</v>
      </c>
      <c r="L301" s="186"/>
      <c r="M301" s="186"/>
      <c r="N301" s="184">
        <f t="shared" si="54"/>
        <v>-6381.0099999999584</v>
      </c>
      <c r="O301" s="41"/>
      <c r="P301" s="125"/>
      <c r="Q301" s="187"/>
      <c r="R301" s="41"/>
      <c r="S301" s="125"/>
      <c r="T301" s="187"/>
    </row>
    <row r="302" spans="1:21" ht="16.5">
      <c r="A302" s="178"/>
      <c r="B302" s="179"/>
      <c r="C302" s="41"/>
      <c r="D302" s="41"/>
      <c r="E302" s="60"/>
      <c r="F302" s="41"/>
      <c r="G302" s="41"/>
      <c r="H302" s="41"/>
      <c r="I302" s="41"/>
      <c r="J302" s="125"/>
      <c r="K302" s="187"/>
      <c r="L302" s="187"/>
      <c r="M302" s="187"/>
      <c r="N302" s="125"/>
      <c r="O302" s="41"/>
      <c r="P302" s="125"/>
      <c r="Q302" s="187"/>
      <c r="R302" s="41"/>
      <c r="S302" s="125"/>
      <c r="T302" s="187"/>
    </row>
    <row r="303" spans="1:21" ht="33">
      <c r="A303" s="119"/>
      <c r="B303" s="109" t="s">
        <v>349</v>
      </c>
      <c r="C303" s="21">
        <f>C304+C307</f>
        <v>6492.8000000000466</v>
      </c>
      <c r="D303" s="21">
        <f>D304+D307</f>
        <v>-8000</v>
      </c>
      <c r="E303" s="21">
        <f>E304+E307</f>
        <v>53916.899999999994</v>
      </c>
      <c r="F303" s="21">
        <f>F304+F307</f>
        <v>6769.0000000001164</v>
      </c>
      <c r="G303" s="21">
        <f>G304+G307</f>
        <v>19643.70000000007</v>
      </c>
      <c r="H303" s="21"/>
      <c r="I303" s="21"/>
      <c r="J303" s="48" t="e">
        <f>J304+J307</f>
        <v>#REF!</v>
      </c>
      <c r="K303" s="188"/>
      <c r="L303" s="188"/>
      <c r="M303" s="188"/>
      <c r="N303" s="48"/>
      <c r="O303" s="48" t="e">
        <f>O304+O307</f>
        <v>#REF!</v>
      </c>
      <c r="P303" s="48" t="e">
        <f>P304+P307</f>
        <v>#REF!</v>
      </c>
      <c r="Q303" s="188"/>
      <c r="R303" s="48" t="e">
        <f>R304+R307</f>
        <v>#REF!</v>
      </c>
      <c r="S303" s="48" t="e">
        <f>S304+S307</f>
        <v>#REF!</v>
      </c>
      <c r="T303" s="188"/>
    </row>
    <row r="304" spans="1:21" ht="33">
      <c r="A304" s="119" t="s">
        <v>350</v>
      </c>
      <c r="B304" s="109" t="s">
        <v>351</v>
      </c>
      <c r="C304" s="21">
        <f t="shared" ref="C304:J304" si="55">C305-C306</f>
        <v>1000</v>
      </c>
      <c r="D304" s="21">
        <f t="shared" si="55"/>
        <v>-8000</v>
      </c>
      <c r="E304" s="21">
        <f t="shared" si="55"/>
        <v>49248.7</v>
      </c>
      <c r="F304" s="21">
        <f t="shared" si="55"/>
        <v>22000</v>
      </c>
      <c r="G304" s="21">
        <f t="shared" si="55"/>
        <v>22000</v>
      </c>
      <c r="H304" s="21">
        <f t="shared" si="55"/>
        <v>0</v>
      </c>
      <c r="I304" s="21">
        <f t="shared" si="55"/>
        <v>0</v>
      </c>
      <c r="J304" s="48">
        <f t="shared" si="55"/>
        <v>0</v>
      </c>
      <c r="K304" s="188"/>
      <c r="L304" s="188"/>
      <c r="M304" s="188"/>
      <c r="N304" s="48"/>
      <c r="O304" s="48">
        <f>O305-O306</f>
        <v>-30000</v>
      </c>
      <c r="P304" s="48">
        <f>P305-P306</f>
        <v>-30000</v>
      </c>
      <c r="Q304" s="188"/>
      <c r="R304" s="48">
        <f>R305-R306</f>
        <v>-8500</v>
      </c>
      <c r="S304" s="48">
        <f>S305-S306</f>
        <v>-8500</v>
      </c>
      <c r="T304" s="188"/>
    </row>
    <row r="305" spans="1:20" ht="49.5">
      <c r="A305" s="8" t="s">
        <v>352</v>
      </c>
      <c r="B305" s="40" t="s">
        <v>353</v>
      </c>
      <c r="C305" s="189">
        <v>9500</v>
      </c>
      <c r="D305" s="189">
        <v>0</v>
      </c>
      <c r="E305" s="30">
        <v>57248.7</v>
      </c>
      <c r="F305" s="189">
        <v>30000</v>
      </c>
      <c r="G305" s="55">
        <v>30000</v>
      </c>
      <c r="H305" s="55"/>
      <c r="I305" s="55"/>
      <c r="J305" s="55">
        <v>60000</v>
      </c>
      <c r="K305" s="190"/>
      <c r="L305" s="190"/>
      <c r="M305" s="190"/>
      <c r="N305" s="55"/>
      <c r="O305" s="55">
        <v>0</v>
      </c>
      <c r="P305" s="55">
        <v>0</v>
      </c>
      <c r="Q305" s="190"/>
      <c r="R305" s="55">
        <v>0</v>
      </c>
      <c r="S305" s="55">
        <v>0</v>
      </c>
      <c r="T305" s="190"/>
    </row>
    <row r="306" spans="1:20" ht="49.5">
      <c r="A306" s="8" t="s">
        <v>354</v>
      </c>
      <c r="B306" s="40" t="s">
        <v>355</v>
      </c>
      <c r="C306" s="189">
        <v>8500</v>
      </c>
      <c r="D306" s="189">
        <v>8000</v>
      </c>
      <c r="E306" s="30">
        <v>8000</v>
      </c>
      <c r="F306" s="189">
        <v>8000</v>
      </c>
      <c r="G306" s="55">
        <v>8000</v>
      </c>
      <c r="H306" s="55"/>
      <c r="I306" s="55"/>
      <c r="J306" s="55">
        <v>60000</v>
      </c>
      <c r="K306" s="190"/>
      <c r="L306" s="190"/>
      <c r="M306" s="190"/>
      <c r="N306" s="55"/>
      <c r="O306" s="55">
        <v>30000</v>
      </c>
      <c r="P306" s="55">
        <v>30000</v>
      </c>
      <c r="Q306" s="190"/>
      <c r="R306" s="55">
        <v>8500</v>
      </c>
      <c r="S306" s="55">
        <v>8500</v>
      </c>
      <c r="T306" s="190"/>
    </row>
    <row r="307" spans="1:20" ht="33">
      <c r="A307" s="119" t="s">
        <v>356</v>
      </c>
      <c r="B307" s="109" t="s">
        <v>357</v>
      </c>
      <c r="C307" s="21">
        <f t="shared" ref="C307:J307" si="56">C308+C309</f>
        <v>5492.8000000000466</v>
      </c>
      <c r="D307" s="21">
        <f t="shared" si="56"/>
        <v>0</v>
      </c>
      <c r="E307" s="21">
        <f t="shared" si="56"/>
        <v>4668.2</v>
      </c>
      <c r="F307" s="21">
        <f t="shared" si="56"/>
        <v>-15230.999999999884</v>
      </c>
      <c r="G307" s="21">
        <f t="shared" si="56"/>
        <v>-2356.2999999999302</v>
      </c>
      <c r="H307" s="21">
        <f t="shared" si="56"/>
        <v>19723.599999999806</v>
      </c>
      <c r="I307" s="21">
        <f t="shared" si="56"/>
        <v>1</v>
      </c>
      <c r="J307" s="48" t="e">
        <f t="shared" si="56"/>
        <v>#REF!</v>
      </c>
      <c r="K307" s="188"/>
      <c r="L307" s="188"/>
      <c r="M307" s="188"/>
      <c r="N307" s="48"/>
      <c r="O307" s="48" t="e">
        <f>O308+O309</f>
        <v>#REF!</v>
      </c>
      <c r="P307" s="48" t="e">
        <f>P308+P309</f>
        <v>#REF!</v>
      </c>
      <c r="Q307" s="188"/>
      <c r="R307" s="48" t="e">
        <f>R308+R309</f>
        <v>#REF!</v>
      </c>
      <c r="S307" s="48" t="e">
        <f>S308+S309</f>
        <v>#REF!</v>
      </c>
      <c r="T307" s="188"/>
    </row>
    <row r="308" spans="1:20" ht="33">
      <c r="A308" s="8" t="s">
        <v>358</v>
      </c>
      <c r="B308" s="40" t="s">
        <v>359</v>
      </c>
      <c r="C308" s="191">
        <f>-565437.9+-74035.7</f>
        <v>-639473.6</v>
      </c>
      <c r="D308" s="191">
        <v>-346626.4</v>
      </c>
      <c r="E308" s="30">
        <v>0</v>
      </c>
      <c r="F308" s="192">
        <f>-(F48+F305)</f>
        <v>-581903.6</v>
      </c>
      <c r="G308" s="192">
        <f>-(G48+G305)</f>
        <v>-627176.29999999993</v>
      </c>
      <c r="H308" s="193">
        <f>-(H48+H305)</f>
        <v>12944.399999999907</v>
      </c>
      <c r="I308" s="193">
        <f>-(I48+I305)</f>
        <v>0</v>
      </c>
      <c r="J308" s="55">
        <f>-(J305+J48)</f>
        <v>-659541.43599999999</v>
      </c>
      <c r="K308" s="190"/>
      <c r="L308" s="190"/>
      <c r="M308" s="190"/>
      <c r="N308" s="55"/>
      <c r="O308" s="55" t="e">
        <f>-(O305+O48)</f>
        <v>#REF!</v>
      </c>
      <c r="P308" s="55" t="e">
        <f>-(P305+P48)</f>
        <v>#REF!</v>
      </c>
      <c r="Q308" s="190"/>
      <c r="R308" s="55" t="e">
        <f>-(R305+R48)</f>
        <v>#REF!</v>
      </c>
      <c r="S308" s="55" t="e">
        <f>-(S305+S48)</f>
        <v>#REF!</v>
      </c>
      <c r="T308" s="190"/>
    </row>
    <row r="309" spans="1:20" ht="33">
      <c r="A309" s="8" t="s">
        <v>360</v>
      </c>
      <c r="B309" s="40" t="s">
        <v>361</v>
      </c>
      <c r="C309" s="191">
        <f>571206.9+73759.5</f>
        <v>644966.40000000002</v>
      </c>
      <c r="D309" s="191">
        <v>346626.4</v>
      </c>
      <c r="E309" s="55">
        <v>4668.2</v>
      </c>
      <c r="F309" s="192">
        <f>F297+F306</f>
        <v>566672.60000000009</v>
      </c>
      <c r="G309" s="192">
        <f>G297+G306</f>
        <v>624820</v>
      </c>
      <c r="H309" s="193">
        <f>H297+H306</f>
        <v>6779.1999999998998</v>
      </c>
      <c r="I309" s="193">
        <f>I297+I306</f>
        <v>1</v>
      </c>
      <c r="J309" s="55" t="e">
        <f>J306+J297</f>
        <v>#REF!</v>
      </c>
      <c r="K309" s="190"/>
      <c r="L309" s="190"/>
      <c r="M309" s="190"/>
      <c r="N309" s="55"/>
      <c r="O309" s="55" t="e">
        <f>O306+O297</f>
        <v>#REF!</v>
      </c>
      <c r="P309" s="55" t="e">
        <f>P306+P297</f>
        <v>#REF!</v>
      </c>
      <c r="Q309" s="190"/>
      <c r="R309" s="55" t="e">
        <f>R306+R297</f>
        <v>#REF!</v>
      </c>
      <c r="S309" s="55" t="e">
        <f>S306+S297</f>
        <v>#REF!</v>
      </c>
      <c r="T309" s="190"/>
    </row>
    <row r="310" spans="1:20" ht="16.5">
      <c r="A310" s="194"/>
      <c r="B310" s="195"/>
      <c r="C310" s="196"/>
      <c r="D310" s="196"/>
      <c r="J310" s="6"/>
      <c r="M310" s="197"/>
      <c r="N310" s="3"/>
      <c r="P310" s="6"/>
      <c r="Q310" s="3"/>
      <c r="S310" s="6"/>
      <c r="T310" s="3"/>
    </row>
    <row r="311" spans="1:20" ht="16.5">
      <c r="A311" s="198"/>
      <c r="B311" s="199"/>
      <c r="C311" s="196"/>
      <c r="D311" s="196"/>
      <c r="F311" s="197"/>
      <c r="G311" s="197"/>
      <c r="J311" s="6"/>
      <c r="M311" s="197"/>
      <c r="N311" s="3"/>
      <c r="P311" s="6"/>
      <c r="Q311" s="3"/>
      <c r="S311" s="6"/>
      <c r="T311" s="3"/>
    </row>
    <row r="312" spans="1:20" ht="16.5">
      <c r="A312" s="198"/>
      <c r="B312" s="199"/>
      <c r="C312" s="196"/>
      <c r="D312" s="196"/>
      <c r="F312" s="197"/>
      <c r="G312" s="197"/>
      <c r="J312" s="6"/>
      <c r="M312" s="197"/>
      <c r="N312" s="3"/>
      <c r="P312" s="6"/>
      <c r="Q312" s="3"/>
      <c r="S312" s="6"/>
      <c r="T312" s="3"/>
    </row>
    <row r="313" spans="1:20" ht="16.5">
      <c r="A313" s="198"/>
      <c r="B313" s="199"/>
      <c r="C313" s="196"/>
      <c r="D313" s="196"/>
      <c r="E313" s="200"/>
      <c r="F313" s="201"/>
      <c r="G313" s="201"/>
      <c r="H313" s="200"/>
      <c r="I313" s="200"/>
      <c r="J313" s="6"/>
      <c r="M313" s="197"/>
      <c r="N313" s="200"/>
      <c r="P313" s="6"/>
      <c r="Q313" s="200"/>
      <c r="S313" s="6"/>
      <c r="T313" s="3"/>
    </row>
    <row r="314" spans="1:20" ht="16.5">
      <c r="C314" s="202"/>
      <c r="D314" s="202"/>
      <c r="E314" s="202"/>
      <c r="F314" s="196"/>
      <c r="G314" s="196"/>
      <c r="H314" s="202"/>
      <c r="I314" s="202"/>
      <c r="J314" s="6"/>
      <c r="M314" s="197"/>
      <c r="N314" s="202"/>
      <c r="P314" s="6"/>
      <c r="Q314" s="202"/>
      <c r="S314" s="6"/>
      <c r="T314" s="3"/>
    </row>
    <row r="315" spans="1:20" ht="16.5">
      <c r="C315" s="202"/>
      <c r="D315" s="202"/>
      <c r="E315" s="199"/>
      <c r="F315" s="202"/>
      <c r="G315" s="202"/>
      <c r="H315" s="202"/>
      <c r="I315" s="202"/>
      <c r="O315" s="202"/>
      <c r="R315" s="202"/>
    </row>
    <row r="316" spans="1:20" ht="16.5">
      <c r="C316" s="202"/>
      <c r="D316" s="202"/>
      <c r="E316" s="199"/>
      <c r="F316" s="202"/>
      <c r="G316" s="202"/>
      <c r="H316" s="202"/>
      <c r="I316" s="202"/>
      <c r="O316" s="202"/>
      <c r="R316" s="202"/>
    </row>
    <row r="317" spans="1:20" ht="16.5">
      <c r="C317" s="202"/>
      <c r="D317" s="202"/>
      <c r="E317" s="199"/>
      <c r="F317" s="202"/>
      <c r="G317" s="202"/>
      <c r="H317" s="202"/>
      <c r="I317" s="202"/>
      <c r="O317" s="202"/>
      <c r="R317" s="202"/>
    </row>
    <row r="318" spans="1:20" ht="16.5">
      <c r="C318" s="202"/>
      <c r="D318" s="202"/>
      <c r="E318" s="199"/>
      <c r="F318" s="202"/>
      <c r="G318" s="202"/>
      <c r="H318" s="202"/>
      <c r="I318" s="202"/>
      <c r="O318" s="202"/>
      <c r="R318" s="202"/>
    </row>
    <row r="319" spans="1:20" ht="16.5">
      <c r="C319" s="202"/>
      <c r="D319" s="202"/>
      <c r="E319" s="199"/>
      <c r="F319" s="202"/>
      <c r="G319" s="202"/>
      <c r="H319" s="202"/>
      <c r="I319" s="202"/>
      <c r="O319" s="202"/>
      <c r="R319" s="202"/>
    </row>
    <row r="320" spans="1:20" ht="16.5">
      <c r="C320" s="202"/>
      <c r="D320" s="202"/>
      <c r="E320" s="199"/>
      <c r="F320" s="202"/>
      <c r="G320" s="202"/>
      <c r="H320" s="202"/>
      <c r="I320" s="202"/>
      <c r="O320" s="202"/>
      <c r="R320" s="202"/>
    </row>
    <row r="321" spans="3:18" ht="16.5">
      <c r="C321" s="202"/>
      <c r="D321" s="202"/>
      <c r="E321" s="199"/>
      <c r="F321" s="202"/>
      <c r="G321" s="202"/>
      <c r="H321" s="202"/>
      <c r="I321" s="202"/>
      <c r="O321" s="202"/>
      <c r="R321" s="202"/>
    </row>
    <row r="322" spans="3:18" ht="16.5">
      <c r="C322" s="202"/>
      <c r="D322" s="202"/>
      <c r="E322" s="199"/>
      <c r="F322" s="202"/>
      <c r="G322" s="202"/>
      <c r="H322" s="202"/>
      <c r="I322" s="202"/>
      <c r="O322" s="202"/>
      <c r="R322" s="202"/>
    </row>
    <row r="323" spans="3:18" ht="16.5">
      <c r="C323" s="202"/>
      <c r="D323" s="202"/>
      <c r="E323" s="199"/>
      <c r="F323" s="202"/>
      <c r="G323" s="202"/>
      <c r="H323" s="202"/>
      <c r="I323" s="202"/>
      <c r="O323" s="202"/>
      <c r="R323" s="202"/>
    </row>
    <row r="324" spans="3:18" ht="16.5">
      <c r="C324" s="202"/>
      <c r="D324" s="202"/>
      <c r="E324" s="199"/>
      <c r="F324" s="202"/>
      <c r="G324" s="202"/>
      <c r="H324" s="202"/>
      <c r="I324" s="202"/>
      <c r="O324" s="202"/>
      <c r="R324" s="202"/>
    </row>
    <row r="325" spans="3:18" ht="16.5">
      <c r="C325" s="202"/>
      <c r="D325" s="202"/>
      <c r="E325" s="199"/>
      <c r="F325" s="202"/>
      <c r="G325" s="202"/>
      <c r="H325" s="202"/>
      <c r="I325" s="202"/>
      <c r="O325" s="202"/>
      <c r="R325" s="202"/>
    </row>
    <row r="326" spans="3:18" ht="16.5">
      <c r="C326" s="202"/>
      <c r="D326" s="202"/>
      <c r="E326" s="199"/>
      <c r="F326" s="202"/>
      <c r="G326" s="202"/>
      <c r="H326" s="202"/>
      <c r="I326" s="202"/>
      <c r="O326" s="202"/>
      <c r="R326" s="202"/>
    </row>
    <row r="327" spans="3:18" ht="16.5">
      <c r="C327" s="202"/>
      <c r="D327" s="202"/>
      <c r="E327" s="199"/>
      <c r="F327" s="202"/>
      <c r="G327" s="202"/>
      <c r="H327" s="202"/>
      <c r="I327" s="202"/>
      <c r="O327" s="202"/>
      <c r="R327" s="202"/>
    </row>
    <row r="328" spans="3:18" ht="16.5">
      <c r="C328" s="202"/>
      <c r="D328" s="202"/>
      <c r="E328" s="199"/>
      <c r="F328" s="202"/>
      <c r="G328" s="202"/>
      <c r="H328" s="202"/>
      <c r="I328" s="202"/>
      <c r="O328" s="202"/>
      <c r="R328" s="202"/>
    </row>
    <row r="329" spans="3:18" ht="16.5">
      <c r="C329" s="202"/>
      <c r="D329" s="202"/>
      <c r="E329" s="199"/>
      <c r="F329" s="202"/>
      <c r="G329" s="202"/>
      <c r="H329" s="202"/>
      <c r="I329" s="202"/>
      <c r="O329" s="202"/>
      <c r="R329" s="202"/>
    </row>
    <row r="330" spans="3:18" ht="16.5">
      <c r="C330" s="202"/>
      <c r="D330" s="202"/>
      <c r="E330" s="199"/>
      <c r="F330" s="202"/>
      <c r="G330" s="202"/>
      <c r="H330" s="202"/>
      <c r="I330" s="202"/>
      <c r="O330" s="202"/>
      <c r="R330" s="202"/>
    </row>
    <row r="331" spans="3:18" ht="16.5">
      <c r="C331" s="202"/>
      <c r="D331" s="202"/>
      <c r="E331" s="199"/>
      <c r="F331" s="202"/>
      <c r="G331" s="202"/>
      <c r="H331" s="202"/>
      <c r="I331" s="202"/>
      <c r="O331" s="202"/>
      <c r="R331" s="202"/>
    </row>
    <row r="332" spans="3:18" ht="16.5">
      <c r="C332" s="202"/>
      <c r="D332" s="202"/>
      <c r="E332" s="199"/>
      <c r="F332" s="202"/>
      <c r="G332" s="202"/>
      <c r="H332" s="202"/>
      <c r="I332" s="202"/>
      <c r="O332" s="202"/>
      <c r="R332" s="202"/>
    </row>
    <row r="333" spans="3:18" ht="16.5">
      <c r="C333" s="202"/>
      <c r="D333" s="202"/>
      <c r="E333" s="199"/>
      <c r="F333" s="202"/>
      <c r="G333" s="202"/>
      <c r="H333" s="202"/>
      <c r="I333" s="202"/>
      <c r="O333" s="202"/>
      <c r="R333" s="202"/>
    </row>
    <row r="334" spans="3:18" ht="16.5">
      <c r="C334" s="202"/>
      <c r="D334" s="202"/>
      <c r="E334" s="199"/>
      <c r="F334" s="202"/>
      <c r="G334" s="202"/>
      <c r="H334" s="202"/>
      <c r="I334" s="202"/>
      <c r="O334" s="202"/>
      <c r="R334" s="202"/>
    </row>
    <row r="335" spans="3:18" ht="16.5">
      <c r="C335" s="202"/>
      <c r="D335" s="202"/>
      <c r="E335" s="199"/>
      <c r="F335" s="202"/>
      <c r="G335" s="202"/>
      <c r="H335" s="202"/>
      <c r="I335" s="202"/>
      <c r="O335" s="202"/>
      <c r="R335" s="202"/>
    </row>
    <row r="336" spans="3:18" ht="16.5">
      <c r="C336" s="202"/>
      <c r="D336" s="202"/>
      <c r="E336" s="199"/>
      <c r="F336" s="202"/>
      <c r="G336" s="202"/>
      <c r="H336" s="202"/>
      <c r="I336" s="202"/>
      <c r="O336" s="202"/>
      <c r="R336" s="202"/>
    </row>
    <row r="337" spans="3:18" ht="16.5">
      <c r="C337" s="202"/>
      <c r="D337" s="202"/>
      <c r="E337" s="199"/>
      <c r="F337" s="202"/>
      <c r="G337" s="202"/>
      <c r="H337" s="202"/>
      <c r="I337" s="202"/>
      <c r="O337" s="202"/>
      <c r="R337" s="202"/>
    </row>
    <row r="338" spans="3:18" ht="16.5">
      <c r="C338" s="202"/>
      <c r="D338" s="202"/>
      <c r="E338" s="199"/>
      <c r="F338" s="202"/>
      <c r="G338" s="202"/>
      <c r="H338" s="202"/>
      <c r="I338" s="202"/>
      <c r="O338" s="202"/>
      <c r="R338" s="202"/>
    </row>
    <row r="339" spans="3:18" ht="16.5">
      <c r="C339" s="202"/>
      <c r="D339" s="202"/>
      <c r="E339" s="199"/>
      <c r="F339" s="202"/>
      <c r="G339" s="202"/>
      <c r="H339" s="202"/>
      <c r="I339" s="202"/>
      <c r="O339" s="202"/>
      <c r="R339" s="202"/>
    </row>
    <row r="340" spans="3:18" ht="16.5">
      <c r="C340" s="202"/>
      <c r="D340" s="202"/>
      <c r="E340" s="199"/>
      <c r="F340" s="202"/>
      <c r="G340" s="202"/>
      <c r="H340" s="202"/>
      <c r="I340" s="202"/>
      <c r="O340" s="202"/>
      <c r="R340" s="202"/>
    </row>
    <row r="341" spans="3:18" ht="16.5">
      <c r="C341" s="202"/>
      <c r="D341" s="202"/>
      <c r="E341" s="199"/>
      <c r="F341" s="202"/>
      <c r="G341" s="202"/>
      <c r="H341" s="202"/>
      <c r="I341" s="202"/>
      <c r="O341" s="202"/>
      <c r="R341" s="202"/>
    </row>
    <row r="342" spans="3:18" ht="16.5">
      <c r="C342" s="202"/>
      <c r="D342" s="202"/>
      <c r="E342" s="199"/>
      <c r="F342" s="202"/>
      <c r="G342" s="202"/>
      <c r="H342" s="202"/>
      <c r="I342" s="202"/>
      <c r="O342" s="202"/>
      <c r="R342" s="202"/>
    </row>
    <row r="343" spans="3:18" ht="16.5">
      <c r="C343" s="202"/>
      <c r="D343" s="202"/>
      <c r="E343" s="199"/>
      <c r="F343" s="202"/>
      <c r="G343" s="202"/>
      <c r="H343" s="202"/>
      <c r="I343" s="202"/>
      <c r="O343" s="202"/>
      <c r="R343" s="202"/>
    </row>
    <row r="344" spans="3:18" ht="16.5">
      <c r="C344" s="202"/>
      <c r="D344" s="202"/>
      <c r="E344" s="199"/>
      <c r="F344" s="202"/>
      <c r="G344" s="202"/>
      <c r="H344" s="202"/>
      <c r="I344" s="202"/>
      <c r="O344" s="202"/>
      <c r="R344" s="202"/>
    </row>
    <row r="345" spans="3:18" ht="16.5">
      <c r="C345" s="202"/>
      <c r="D345" s="202"/>
      <c r="E345" s="199"/>
      <c r="F345" s="202"/>
      <c r="G345" s="202"/>
      <c r="H345" s="202"/>
      <c r="I345" s="202"/>
      <c r="O345" s="202"/>
      <c r="R345" s="202"/>
    </row>
    <row r="346" spans="3:18" ht="16.5">
      <c r="C346" s="202"/>
      <c r="D346" s="202"/>
      <c r="E346" s="199"/>
      <c r="F346" s="202"/>
      <c r="G346" s="202"/>
      <c r="H346" s="202"/>
      <c r="I346" s="202"/>
      <c r="O346" s="202"/>
      <c r="R346" s="202"/>
    </row>
    <row r="347" spans="3:18" ht="16.5">
      <c r="C347" s="202"/>
      <c r="D347" s="202"/>
      <c r="E347" s="199"/>
      <c r="F347" s="202"/>
      <c r="G347" s="202"/>
      <c r="H347" s="202"/>
      <c r="I347" s="202"/>
      <c r="O347" s="202"/>
      <c r="R347" s="202"/>
    </row>
    <row r="348" spans="3:18" ht="16.5">
      <c r="C348" s="202"/>
      <c r="D348" s="202"/>
      <c r="E348" s="199"/>
      <c r="F348" s="202"/>
      <c r="G348" s="202"/>
      <c r="H348" s="202"/>
      <c r="I348" s="202"/>
      <c r="O348" s="202"/>
      <c r="R348" s="202"/>
    </row>
    <row r="349" spans="3:18" ht="16.5">
      <c r="C349" s="202"/>
      <c r="D349" s="202"/>
      <c r="E349" s="199"/>
      <c r="F349" s="202"/>
      <c r="G349" s="202"/>
      <c r="H349" s="202"/>
      <c r="I349" s="202"/>
      <c r="O349" s="202"/>
      <c r="R349" s="202"/>
    </row>
    <row r="350" spans="3:18" ht="16.5">
      <c r="C350" s="202"/>
      <c r="D350" s="202"/>
      <c r="E350" s="199"/>
      <c r="F350" s="202"/>
      <c r="G350" s="202"/>
      <c r="H350" s="202"/>
      <c r="I350" s="202"/>
      <c r="O350" s="202"/>
      <c r="R350" s="202"/>
    </row>
    <row r="351" spans="3:18" ht="16.5">
      <c r="C351" s="202"/>
      <c r="D351" s="202"/>
      <c r="E351" s="199"/>
      <c r="F351" s="202"/>
      <c r="G351" s="202"/>
      <c r="H351" s="202"/>
      <c r="I351" s="202"/>
      <c r="O351" s="202"/>
      <c r="R351" s="202"/>
    </row>
    <row r="352" spans="3:18" ht="16.5">
      <c r="C352" s="202"/>
      <c r="D352" s="202"/>
      <c r="E352" s="199"/>
      <c r="F352" s="202"/>
      <c r="G352" s="202"/>
      <c r="H352" s="202"/>
      <c r="I352" s="202"/>
      <c r="O352" s="202"/>
      <c r="R352" s="202"/>
    </row>
    <row r="353" spans="3:18" ht="16.5">
      <c r="C353" s="202"/>
      <c r="D353" s="202"/>
      <c r="E353" s="199"/>
      <c r="F353" s="202"/>
      <c r="G353" s="202"/>
      <c r="H353" s="202"/>
      <c r="I353" s="202"/>
      <c r="O353" s="202"/>
      <c r="R353" s="202"/>
    </row>
    <row r="354" spans="3:18" ht="16.5">
      <c r="C354" s="202"/>
      <c r="D354" s="202"/>
      <c r="E354" s="199"/>
      <c r="F354" s="202"/>
      <c r="G354" s="202"/>
      <c r="H354" s="202"/>
      <c r="I354" s="202"/>
      <c r="O354" s="202"/>
      <c r="R354" s="202"/>
    </row>
    <row r="355" spans="3:18" ht="16.5">
      <c r="C355" s="202"/>
      <c r="D355" s="202"/>
      <c r="E355" s="199"/>
      <c r="F355" s="202"/>
      <c r="G355" s="202"/>
      <c r="H355" s="202"/>
      <c r="I355" s="202"/>
      <c r="O355" s="202"/>
      <c r="R355" s="202"/>
    </row>
    <row r="356" spans="3:18" ht="16.5">
      <c r="C356" s="202"/>
      <c r="D356" s="202"/>
      <c r="E356" s="199"/>
      <c r="F356" s="202"/>
      <c r="G356" s="202"/>
      <c r="H356" s="202"/>
      <c r="I356" s="202"/>
      <c r="O356" s="202"/>
      <c r="R356" s="202"/>
    </row>
    <row r="357" spans="3:18" ht="16.5">
      <c r="C357" s="202"/>
      <c r="D357" s="202"/>
      <c r="E357" s="199"/>
      <c r="F357" s="202"/>
      <c r="G357" s="202"/>
      <c r="H357" s="202"/>
      <c r="I357" s="202"/>
      <c r="O357" s="202"/>
      <c r="R357" s="202"/>
    </row>
    <row r="358" spans="3:18" ht="16.5">
      <c r="C358" s="202"/>
      <c r="D358" s="202"/>
      <c r="E358" s="199"/>
      <c r="F358" s="202"/>
      <c r="G358" s="202"/>
      <c r="H358" s="202"/>
      <c r="I358" s="202"/>
      <c r="O358" s="202"/>
      <c r="R358" s="202"/>
    </row>
    <row r="359" spans="3:18" ht="16.5">
      <c r="C359" s="202"/>
      <c r="D359" s="202"/>
      <c r="E359" s="199"/>
      <c r="F359" s="202"/>
      <c r="G359" s="202"/>
      <c r="H359" s="202"/>
      <c r="I359" s="202"/>
      <c r="O359" s="202"/>
      <c r="R359" s="202"/>
    </row>
    <row r="360" spans="3:18" ht="16.5">
      <c r="C360" s="202"/>
      <c r="D360" s="202"/>
      <c r="E360" s="199"/>
      <c r="F360" s="202"/>
      <c r="G360" s="202"/>
      <c r="H360" s="202"/>
      <c r="I360" s="202"/>
      <c r="O360" s="202"/>
      <c r="R360" s="202"/>
    </row>
    <row r="361" spans="3:18" ht="16.5">
      <c r="C361" s="202"/>
      <c r="D361" s="202"/>
      <c r="E361" s="199"/>
      <c r="F361" s="202"/>
      <c r="G361" s="202"/>
      <c r="H361" s="202"/>
      <c r="I361" s="202"/>
      <c r="O361" s="202"/>
      <c r="R361" s="202"/>
    </row>
    <row r="362" spans="3:18" ht="16.5">
      <c r="C362" s="202"/>
      <c r="D362" s="202"/>
      <c r="E362" s="199"/>
      <c r="F362" s="202"/>
      <c r="G362" s="202"/>
      <c r="H362" s="202"/>
      <c r="I362" s="202"/>
      <c r="O362" s="202"/>
      <c r="R362" s="202"/>
    </row>
    <row r="363" spans="3:18" ht="16.5">
      <c r="C363" s="202"/>
      <c r="D363" s="202"/>
      <c r="E363" s="199"/>
      <c r="F363" s="202"/>
      <c r="G363" s="202"/>
      <c r="H363" s="202"/>
      <c r="I363" s="202"/>
      <c r="O363" s="202"/>
      <c r="R363" s="202"/>
    </row>
    <row r="364" spans="3:18" ht="16.5">
      <c r="C364" s="202"/>
      <c r="D364" s="202"/>
      <c r="E364" s="199"/>
      <c r="F364" s="202"/>
      <c r="G364" s="202"/>
      <c r="H364" s="202"/>
      <c r="I364" s="202"/>
      <c r="O364" s="202"/>
      <c r="R364" s="202"/>
    </row>
    <row r="365" spans="3:18" ht="16.5">
      <c r="C365" s="202"/>
      <c r="D365" s="202"/>
      <c r="E365" s="199"/>
      <c r="F365" s="202"/>
      <c r="G365" s="202"/>
      <c r="H365" s="202"/>
      <c r="I365" s="202"/>
      <c r="O365" s="202"/>
      <c r="R365" s="202"/>
    </row>
    <row r="366" spans="3:18" ht="16.5">
      <c r="C366" s="202"/>
      <c r="D366" s="202"/>
      <c r="E366" s="199"/>
      <c r="F366" s="202"/>
      <c r="G366" s="202"/>
      <c r="H366" s="202"/>
      <c r="I366" s="202"/>
      <c r="O366" s="202"/>
      <c r="R366" s="202"/>
    </row>
    <row r="367" spans="3:18" ht="16.5">
      <c r="C367" s="202"/>
      <c r="D367" s="202"/>
      <c r="E367" s="199"/>
      <c r="F367" s="202"/>
      <c r="G367" s="202"/>
      <c r="H367" s="202"/>
      <c r="I367" s="202"/>
      <c r="O367" s="202"/>
      <c r="R367" s="202"/>
    </row>
    <row r="368" spans="3:18" ht="16.5">
      <c r="C368" s="202"/>
      <c r="D368" s="202"/>
      <c r="E368" s="199"/>
      <c r="F368" s="202"/>
      <c r="G368" s="202"/>
      <c r="H368" s="202"/>
      <c r="I368" s="202"/>
      <c r="O368" s="202"/>
      <c r="R368" s="202"/>
    </row>
    <row r="369" spans="3:18" ht="16.5">
      <c r="C369" s="202"/>
      <c r="D369" s="202"/>
      <c r="E369" s="199"/>
      <c r="F369" s="202"/>
      <c r="G369" s="202"/>
      <c r="H369" s="202"/>
      <c r="I369" s="202"/>
      <c r="O369" s="202"/>
      <c r="R369" s="202"/>
    </row>
    <row r="370" spans="3:18" ht="16.5">
      <c r="C370" s="202"/>
      <c r="D370" s="202"/>
      <c r="E370" s="199"/>
      <c r="F370" s="202"/>
      <c r="G370" s="202"/>
      <c r="H370" s="202"/>
      <c r="I370" s="202"/>
      <c r="O370" s="202"/>
      <c r="R370" s="202"/>
    </row>
    <row r="371" spans="3:18" ht="16.5">
      <c r="C371" s="202"/>
      <c r="D371" s="202"/>
      <c r="E371" s="199"/>
      <c r="F371" s="202"/>
      <c r="G371" s="202"/>
      <c r="H371" s="202"/>
      <c r="I371" s="202"/>
      <c r="O371" s="202"/>
      <c r="R371" s="202"/>
    </row>
    <row r="372" spans="3:18" ht="16.5">
      <c r="C372" s="202"/>
      <c r="D372" s="202"/>
      <c r="E372" s="199"/>
      <c r="F372" s="202"/>
      <c r="G372" s="202"/>
      <c r="H372" s="202"/>
      <c r="I372" s="202"/>
      <c r="O372" s="202"/>
      <c r="R372" s="202"/>
    </row>
    <row r="373" spans="3:18" ht="16.5">
      <c r="C373" s="202"/>
      <c r="D373" s="202"/>
      <c r="E373" s="199"/>
      <c r="F373" s="202"/>
      <c r="G373" s="202"/>
      <c r="H373" s="202"/>
      <c r="I373" s="202"/>
      <c r="O373" s="202"/>
      <c r="R373" s="202"/>
    </row>
    <row r="374" spans="3:18" ht="16.5">
      <c r="C374" s="202"/>
      <c r="D374" s="202"/>
      <c r="E374" s="199"/>
      <c r="F374" s="202"/>
      <c r="G374" s="202"/>
      <c r="H374" s="202"/>
      <c r="I374" s="202"/>
      <c r="O374" s="202"/>
      <c r="R374" s="202"/>
    </row>
    <row r="375" spans="3:18" ht="16.5">
      <c r="C375" s="202"/>
      <c r="D375" s="202"/>
      <c r="E375" s="199"/>
      <c r="F375" s="202"/>
      <c r="G375" s="202"/>
      <c r="H375" s="202"/>
      <c r="I375" s="202"/>
      <c r="O375" s="202"/>
      <c r="R375" s="202"/>
    </row>
    <row r="376" spans="3:18" ht="16.5">
      <c r="C376" s="202"/>
      <c r="D376" s="202"/>
      <c r="E376" s="199"/>
      <c r="F376" s="202"/>
      <c r="G376" s="202"/>
      <c r="H376" s="202"/>
      <c r="I376" s="202"/>
      <c r="O376" s="202"/>
      <c r="R376" s="202"/>
    </row>
    <row r="377" spans="3:18" ht="16.5">
      <c r="C377" s="202"/>
      <c r="D377" s="202"/>
      <c r="E377" s="199"/>
      <c r="F377" s="202"/>
      <c r="G377" s="202"/>
      <c r="H377" s="202"/>
      <c r="I377" s="202"/>
      <c r="O377" s="202"/>
      <c r="R377" s="202"/>
    </row>
    <row r="378" spans="3:18" ht="16.5">
      <c r="C378" s="202"/>
      <c r="D378" s="202"/>
      <c r="E378" s="199"/>
      <c r="F378" s="202"/>
      <c r="G378" s="202"/>
      <c r="H378" s="202"/>
      <c r="I378" s="202"/>
      <c r="O378" s="202"/>
      <c r="R378" s="202"/>
    </row>
    <row r="379" spans="3:18" ht="16.5">
      <c r="C379" s="202"/>
      <c r="D379" s="202"/>
      <c r="E379" s="199"/>
      <c r="F379" s="202"/>
      <c r="G379" s="202"/>
      <c r="H379" s="202"/>
      <c r="I379" s="202"/>
      <c r="O379" s="202"/>
      <c r="R379" s="202"/>
    </row>
    <row r="380" spans="3:18" ht="16.5">
      <c r="C380" s="202"/>
      <c r="D380" s="202"/>
      <c r="E380" s="199"/>
      <c r="F380" s="202"/>
      <c r="G380" s="202"/>
      <c r="H380" s="202"/>
      <c r="I380" s="202"/>
      <c r="O380" s="202"/>
      <c r="R380" s="202"/>
    </row>
    <row r="381" spans="3:18" ht="16.5">
      <c r="C381" s="202"/>
      <c r="D381" s="202"/>
      <c r="E381" s="199"/>
      <c r="F381" s="202"/>
      <c r="G381" s="202"/>
      <c r="H381" s="202"/>
      <c r="I381" s="202"/>
      <c r="O381" s="202"/>
      <c r="R381" s="202"/>
    </row>
    <row r="382" spans="3:18" ht="16.5">
      <c r="C382" s="202"/>
      <c r="D382" s="202"/>
      <c r="E382" s="199"/>
      <c r="F382" s="202"/>
      <c r="G382" s="202"/>
      <c r="H382" s="202"/>
      <c r="I382" s="202"/>
      <c r="O382" s="202"/>
      <c r="R382" s="202"/>
    </row>
    <row r="383" spans="3:18" ht="16.5">
      <c r="C383" s="202"/>
      <c r="D383" s="202"/>
      <c r="E383" s="199"/>
      <c r="F383" s="202"/>
      <c r="G383" s="202"/>
      <c r="H383" s="202"/>
      <c r="I383" s="202"/>
      <c r="O383" s="202"/>
      <c r="R383" s="202"/>
    </row>
    <row r="384" spans="3:18" ht="16.5">
      <c r="C384" s="202"/>
      <c r="D384" s="202"/>
      <c r="E384" s="199"/>
      <c r="F384" s="202"/>
      <c r="G384" s="202"/>
      <c r="H384" s="202"/>
      <c r="I384" s="202"/>
      <c r="O384" s="202"/>
      <c r="R384" s="202"/>
    </row>
    <row r="385" spans="3:18" ht="16.5">
      <c r="C385" s="202"/>
      <c r="D385" s="202"/>
      <c r="E385" s="199"/>
      <c r="F385" s="202"/>
      <c r="G385" s="202"/>
      <c r="H385" s="202"/>
      <c r="I385" s="202"/>
      <c r="O385" s="202"/>
      <c r="R385" s="202"/>
    </row>
    <row r="386" spans="3:18" ht="16.5">
      <c r="C386" s="202"/>
      <c r="D386" s="202"/>
      <c r="E386" s="199"/>
      <c r="F386" s="202"/>
      <c r="G386" s="202"/>
      <c r="H386" s="202"/>
      <c r="I386" s="202"/>
      <c r="O386" s="202"/>
      <c r="R386" s="202"/>
    </row>
    <row r="387" spans="3:18" ht="16.5">
      <c r="C387" s="202"/>
      <c r="D387" s="202"/>
      <c r="E387" s="199"/>
      <c r="F387" s="202"/>
      <c r="G387" s="202"/>
      <c r="H387" s="202"/>
      <c r="I387" s="202"/>
      <c r="O387" s="202"/>
      <c r="R387" s="202"/>
    </row>
    <row r="388" spans="3:18" ht="16.5">
      <c r="C388" s="202"/>
      <c r="D388" s="202"/>
      <c r="E388" s="199"/>
      <c r="F388" s="202"/>
      <c r="G388" s="202"/>
      <c r="H388" s="202"/>
      <c r="I388" s="202"/>
      <c r="O388" s="202"/>
      <c r="R388" s="202"/>
    </row>
    <row r="389" spans="3:18" ht="16.5">
      <c r="C389" s="202"/>
      <c r="D389" s="202"/>
      <c r="E389" s="199"/>
      <c r="F389" s="202"/>
      <c r="G389" s="202"/>
      <c r="H389" s="202"/>
      <c r="I389" s="202"/>
      <c r="O389" s="202"/>
      <c r="R389" s="202"/>
    </row>
    <row r="390" spans="3:18" ht="16.5">
      <c r="C390" s="202"/>
      <c r="D390" s="202"/>
      <c r="E390" s="199"/>
      <c r="F390" s="202"/>
      <c r="G390" s="202"/>
      <c r="H390" s="202"/>
      <c r="I390" s="202"/>
      <c r="O390" s="202"/>
      <c r="R390" s="202"/>
    </row>
    <row r="391" spans="3:18" ht="16.5">
      <c r="C391" s="202"/>
      <c r="D391" s="202"/>
      <c r="E391" s="199"/>
      <c r="F391" s="202"/>
      <c r="G391" s="202"/>
      <c r="H391" s="202"/>
      <c r="I391" s="202"/>
      <c r="O391" s="202"/>
      <c r="R391" s="202"/>
    </row>
    <row r="392" spans="3:18" ht="16.5">
      <c r="C392" s="202"/>
      <c r="D392" s="202"/>
      <c r="E392" s="199"/>
      <c r="F392" s="202"/>
      <c r="G392" s="202"/>
      <c r="H392" s="202"/>
      <c r="I392" s="202"/>
      <c r="O392" s="202"/>
      <c r="R392" s="202"/>
    </row>
    <row r="393" spans="3:18" ht="16.5">
      <c r="C393" s="202"/>
      <c r="D393" s="202"/>
      <c r="E393" s="199"/>
      <c r="F393" s="202"/>
      <c r="G393" s="202"/>
      <c r="H393" s="202"/>
      <c r="I393" s="202"/>
      <c r="O393" s="202"/>
      <c r="R393" s="202"/>
    </row>
    <row r="394" spans="3:18" ht="16.5">
      <c r="C394" s="202"/>
      <c r="D394" s="202"/>
      <c r="E394" s="199"/>
      <c r="F394" s="202"/>
      <c r="G394" s="202"/>
      <c r="H394" s="202"/>
      <c r="I394" s="202"/>
      <c r="O394" s="202"/>
      <c r="R394" s="202"/>
    </row>
    <row r="395" spans="3:18" ht="16.5">
      <c r="C395" s="202"/>
      <c r="D395" s="202"/>
      <c r="E395" s="199"/>
      <c r="F395" s="202"/>
      <c r="G395" s="202"/>
      <c r="H395" s="202"/>
      <c r="I395" s="202"/>
      <c r="O395" s="202"/>
      <c r="R395" s="202"/>
    </row>
    <row r="396" spans="3:18" ht="16.5">
      <c r="C396" s="202"/>
      <c r="D396" s="202"/>
      <c r="E396" s="199"/>
      <c r="F396" s="202"/>
      <c r="G396" s="202"/>
      <c r="H396" s="202"/>
      <c r="I396" s="202"/>
      <c r="O396" s="202"/>
      <c r="R396" s="202"/>
    </row>
    <row r="397" spans="3:18" ht="16.5">
      <c r="C397" s="202"/>
      <c r="D397" s="202"/>
      <c r="E397" s="199"/>
      <c r="F397" s="202"/>
      <c r="G397" s="202"/>
      <c r="H397" s="202"/>
      <c r="I397" s="202"/>
      <c r="O397" s="202"/>
      <c r="R397" s="202"/>
    </row>
    <row r="398" spans="3:18" ht="16.5">
      <c r="C398" s="202"/>
      <c r="D398" s="202"/>
      <c r="E398" s="199"/>
      <c r="F398" s="202"/>
      <c r="G398" s="202"/>
      <c r="H398" s="202"/>
      <c r="I398" s="202"/>
      <c r="O398" s="202"/>
      <c r="R398" s="202"/>
    </row>
    <row r="399" spans="3:18" ht="16.5">
      <c r="C399" s="202"/>
      <c r="D399" s="202"/>
      <c r="E399" s="199"/>
      <c r="F399" s="202"/>
      <c r="G399" s="202"/>
      <c r="H399" s="202"/>
      <c r="I399" s="202"/>
      <c r="O399" s="202"/>
      <c r="R399" s="202"/>
    </row>
    <row r="400" spans="3:18" ht="16.5">
      <c r="C400" s="202"/>
      <c r="D400" s="202"/>
      <c r="E400" s="199"/>
      <c r="F400" s="202"/>
      <c r="G400" s="202"/>
      <c r="H400" s="202"/>
      <c r="I400" s="202"/>
      <c r="O400" s="202"/>
      <c r="R400" s="202"/>
    </row>
    <row r="401" spans="3:18" ht="16.5">
      <c r="C401" s="202"/>
      <c r="D401" s="202"/>
      <c r="E401" s="199"/>
      <c r="F401" s="202"/>
      <c r="G401" s="202"/>
      <c r="H401" s="202"/>
      <c r="I401" s="202"/>
      <c r="O401" s="202"/>
      <c r="R401" s="202"/>
    </row>
    <row r="402" spans="3:18" ht="16.5">
      <c r="C402" s="202"/>
      <c r="D402" s="202"/>
      <c r="E402" s="199"/>
      <c r="F402" s="202"/>
      <c r="G402" s="202"/>
      <c r="H402" s="202"/>
      <c r="I402" s="202"/>
      <c r="O402" s="202"/>
      <c r="R402" s="202"/>
    </row>
    <row r="403" spans="3:18" ht="16.5">
      <c r="C403" s="202"/>
      <c r="D403" s="202"/>
      <c r="E403" s="199"/>
      <c r="F403" s="202"/>
      <c r="G403" s="202"/>
      <c r="H403" s="202"/>
      <c r="I403" s="202"/>
      <c r="O403" s="202"/>
      <c r="R403" s="202"/>
    </row>
    <row r="404" spans="3:18" ht="16.5">
      <c r="C404" s="202"/>
      <c r="D404" s="202"/>
      <c r="E404" s="199"/>
      <c r="F404" s="202"/>
      <c r="G404" s="202"/>
      <c r="H404" s="202"/>
      <c r="I404" s="202"/>
      <c r="O404" s="202"/>
      <c r="R404" s="202"/>
    </row>
    <row r="405" spans="3:18" ht="16.5">
      <c r="C405" s="202"/>
      <c r="D405" s="202"/>
      <c r="E405" s="199"/>
      <c r="F405" s="202"/>
      <c r="G405" s="202"/>
      <c r="H405" s="202"/>
      <c r="I405" s="202"/>
      <c r="O405" s="202"/>
      <c r="R405" s="202"/>
    </row>
    <row r="406" spans="3:18" ht="16.5">
      <c r="C406" s="202"/>
      <c r="D406" s="202"/>
      <c r="E406" s="199"/>
      <c r="F406" s="202"/>
      <c r="G406" s="202"/>
      <c r="H406" s="202"/>
      <c r="I406" s="202"/>
      <c r="O406" s="202"/>
      <c r="R406" s="202"/>
    </row>
    <row r="407" spans="3:18" ht="16.5">
      <c r="C407" s="202"/>
      <c r="D407" s="202"/>
      <c r="E407" s="199"/>
      <c r="F407" s="202"/>
      <c r="G407" s="202"/>
      <c r="H407" s="202"/>
      <c r="I407" s="202"/>
      <c r="O407" s="202"/>
      <c r="R407" s="202"/>
    </row>
    <row r="408" spans="3:18" ht="16.5">
      <c r="C408" s="202"/>
      <c r="D408" s="202"/>
      <c r="E408" s="199"/>
      <c r="F408" s="202"/>
      <c r="G408" s="202"/>
      <c r="H408" s="202"/>
      <c r="I408" s="202"/>
      <c r="O408" s="202"/>
      <c r="R408" s="202"/>
    </row>
    <row r="409" spans="3:18" ht="16.5">
      <c r="C409" s="202"/>
      <c r="D409" s="202"/>
      <c r="E409" s="199"/>
      <c r="F409" s="202"/>
      <c r="G409" s="202"/>
      <c r="H409" s="202"/>
      <c r="I409" s="202"/>
      <c r="O409" s="202"/>
      <c r="R409" s="202"/>
    </row>
    <row r="410" spans="3:18" ht="16.5">
      <c r="C410" s="202"/>
      <c r="D410" s="202"/>
      <c r="E410" s="199"/>
      <c r="F410" s="202"/>
      <c r="G410" s="202"/>
      <c r="H410" s="202"/>
      <c r="I410" s="202"/>
      <c r="O410" s="202"/>
      <c r="R410" s="202"/>
    </row>
    <row r="411" spans="3:18" ht="16.5">
      <c r="C411" s="202"/>
      <c r="D411" s="202"/>
      <c r="E411" s="199"/>
      <c r="F411" s="202"/>
      <c r="G411" s="202"/>
      <c r="H411" s="202"/>
      <c r="I411" s="202"/>
      <c r="O411" s="202"/>
      <c r="R411" s="202"/>
    </row>
    <row r="412" spans="3:18" ht="16.5">
      <c r="C412" s="202"/>
      <c r="D412" s="202"/>
      <c r="E412" s="199"/>
      <c r="F412" s="202"/>
      <c r="G412" s="202"/>
      <c r="H412" s="202"/>
      <c r="I412" s="202"/>
      <c r="O412" s="202"/>
      <c r="R412" s="202"/>
    </row>
    <row r="413" spans="3:18" ht="16.5">
      <c r="C413" s="202"/>
      <c r="D413" s="202"/>
      <c r="E413" s="199"/>
      <c r="F413" s="202"/>
      <c r="G413" s="202"/>
      <c r="H413" s="202"/>
      <c r="I413" s="202"/>
      <c r="O413" s="202"/>
      <c r="R413" s="202"/>
    </row>
    <row r="414" spans="3:18" ht="16.5">
      <c r="C414" s="202"/>
      <c r="D414" s="202"/>
      <c r="E414" s="199"/>
      <c r="F414" s="202"/>
      <c r="G414" s="202"/>
      <c r="H414" s="202"/>
      <c r="I414" s="202"/>
      <c r="O414" s="202"/>
      <c r="R414" s="202"/>
    </row>
    <row r="415" spans="3:18" ht="16.5">
      <c r="C415" s="202"/>
      <c r="D415" s="202"/>
      <c r="E415" s="199"/>
      <c r="F415" s="202"/>
      <c r="G415" s="202"/>
      <c r="H415" s="202"/>
      <c r="I415" s="202"/>
      <c r="O415" s="202"/>
      <c r="R415" s="202"/>
    </row>
    <row r="416" spans="3:18" ht="16.5">
      <c r="C416" s="202"/>
      <c r="D416" s="202"/>
      <c r="E416" s="199"/>
      <c r="F416" s="202"/>
      <c r="G416" s="202"/>
      <c r="H416" s="202"/>
      <c r="I416" s="202"/>
      <c r="O416" s="202"/>
      <c r="R416" s="202"/>
    </row>
    <row r="417" spans="3:18" ht="16.5">
      <c r="C417" s="202"/>
      <c r="D417" s="202"/>
      <c r="E417" s="199"/>
      <c r="F417" s="202"/>
      <c r="G417" s="202"/>
      <c r="H417" s="202"/>
      <c r="I417" s="202"/>
      <c r="O417" s="202"/>
      <c r="R417" s="202"/>
    </row>
    <row r="418" spans="3:18" ht="16.5">
      <c r="C418" s="202"/>
      <c r="D418" s="202"/>
      <c r="E418" s="199"/>
      <c r="F418" s="202"/>
      <c r="G418" s="202"/>
      <c r="H418" s="202"/>
      <c r="I418" s="202"/>
      <c r="O418" s="202"/>
      <c r="R418" s="202"/>
    </row>
    <row r="419" spans="3:18" ht="16.5">
      <c r="C419" s="202"/>
      <c r="D419" s="202"/>
      <c r="E419" s="199"/>
      <c r="F419" s="202"/>
      <c r="G419" s="202"/>
      <c r="H419" s="202"/>
      <c r="I419" s="202"/>
      <c r="O419" s="202"/>
      <c r="R419" s="202"/>
    </row>
    <row r="420" spans="3:18" ht="16.5">
      <c r="C420" s="202"/>
      <c r="D420" s="202"/>
      <c r="E420" s="199"/>
      <c r="F420" s="202"/>
      <c r="G420" s="202"/>
      <c r="H420" s="202"/>
      <c r="I420" s="202"/>
      <c r="O420" s="202"/>
      <c r="R420" s="202"/>
    </row>
    <row r="421" spans="3:18" ht="16.5">
      <c r="C421" s="202"/>
      <c r="D421" s="202"/>
      <c r="E421" s="199"/>
      <c r="F421" s="202"/>
      <c r="G421" s="202"/>
      <c r="H421" s="202"/>
      <c r="I421" s="202"/>
      <c r="O421" s="202"/>
      <c r="R421" s="202"/>
    </row>
    <row r="422" spans="3:18" ht="16.5">
      <c r="C422" s="202"/>
      <c r="D422" s="202"/>
      <c r="E422" s="199"/>
      <c r="F422" s="202"/>
      <c r="G422" s="202"/>
      <c r="H422" s="202"/>
      <c r="I422" s="202"/>
      <c r="O422" s="202"/>
      <c r="R422" s="202"/>
    </row>
    <row r="423" spans="3:18" ht="16.5">
      <c r="C423" s="202"/>
      <c r="D423" s="202"/>
      <c r="E423" s="199"/>
      <c r="F423" s="202"/>
      <c r="G423" s="202"/>
      <c r="H423" s="202"/>
      <c r="I423" s="202"/>
      <c r="O423" s="202"/>
      <c r="R423" s="202"/>
    </row>
    <row r="424" spans="3:18" ht="16.5">
      <c r="C424" s="202"/>
      <c r="D424" s="202"/>
      <c r="E424" s="199"/>
      <c r="F424" s="202"/>
      <c r="G424" s="202"/>
      <c r="H424" s="202"/>
      <c r="I424" s="202"/>
      <c r="O424" s="202"/>
      <c r="R424" s="202"/>
    </row>
    <row r="425" spans="3:18" ht="16.5">
      <c r="C425" s="202"/>
      <c r="D425" s="202"/>
      <c r="E425" s="199"/>
      <c r="F425" s="202"/>
      <c r="G425" s="202"/>
      <c r="H425" s="202"/>
      <c r="I425" s="202"/>
      <c r="O425" s="202"/>
      <c r="R425" s="202"/>
    </row>
    <row r="426" spans="3:18" ht="16.5">
      <c r="C426" s="202"/>
      <c r="D426" s="202"/>
      <c r="E426" s="199"/>
      <c r="F426" s="202"/>
      <c r="G426" s="202"/>
      <c r="H426" s="202"/>
      <c r="I426" s="202"/>
      <c r="O426" s="202"/>
      <c r="R426" s="202"/>
    </row>
    <row r="427" spans="3:18" ht="16.5">
      <c r="C427" s="202"/>
      <c r="D427" s="202"/>
      <c r="E427" s="199"/>
      <c r="F427" s="202"/>
      <c r="G427" s="202"/>
      <c r="H427" s="202"/>
      <c r="I427" s="202"/>
      <c r="O427" s="202"/>
      <c r="R427" s="202"/>
    </row>
    <row r="428" spans="3:18" ht="16.5">
      <c r="C428" s="202"/>
      <c r="D428" s="202"/>
      <c r="E428" s="199"/>
      <c r="F428" s="202"/>
      <c r="G428" s="202"/>
      <c r="H428" s="202"/>
      <c r="I428" s="202"/>
      <c r="O428" s="202"/>
      <c r="R428" s="202"/>
    </row>
    <row r="429" spans="3:18" ht="16.5">
      <c r="C429" s="202"/>
      <c r="D429" s="202"/>
      <c r="E429" s="199"/>
      <c r="F429" s="202"/>
      <c r="G429" s="202"/>
      <c r="H429" s="202"/>
      <c r="I429" s="202"/>
      <c r="O429" s="202"/>
      <c r="R429" s="202"/>
    </row>
    <row r="430" spans="3:18" ht="16.5">
      <c r="C430" s="202"/>
      <c r="D430" s="202"/>
      <c r="E430" s="199"/>
      <c r="F430" s="202"/>
      <c r="G430" s="202"/>
      <c r="H430" s="202"/>
      <c r="I430" s="202"/>
      <c r="O430" s="202"/>
      <c r="R430" s="202"/>
    </row>
    <row r="431" spans="3:18" ht="16.5">
      <c r="C431" s="202"/>
      <c r="D431" s="202"/>
      <c r="E431" s="199"/>
      <c r="F431" s="202"/>
      <c r="G431" s="202"/>
      <c r="H431" s="202"/>
      <c r="I431" s="202"/>
      <c r="O431" s="202"/>
      <c r="R431" s="202"/>
    </row>
    <row r="432" spans="3:18" ht="16.5">
      <c r="C432" s="202"/>
      <c r="D432" s="202"/>
      <c r="E432" s="199"/>
      <c r="F432" s="202"/>
      <c r="G432" s="202"/>
      <c r="H432" s="202"/>
      <c r="I432" s="202"/>
      <c r="O432" s="202"/>
      <c r="R432" s="202"/>
    </row>
    <row r="433" spans="3:18" ht="16.5">
      <c r="C433" s="202"/>
      <c r="D433" s="202"/>
      <c r="E433" s="199"/>
      <c r="F433" s="202"/>
      <c r="G433" s="202"/>
      <c r="H433" s="202"/>
      <c r="I433" s="202"/>
      <c r="O433" s="202"/>
      <c r="R433" s="202"/>
    </row>
    <row r="434" spans="3:18" ht="16.5">
      <c r="C434" s="202"/>
      <c r="D434" s="202"/>
      <c r="E434" s="199"/>
      <c r="F434" s="202"/>
      <c r="G434" s="202"/>
      <c r="H434" s="202"/>
      <c r="I434" s="202"/>
      <c r="O434" s="202"/>
      <c r="R434" s="202"/>
    </row>
    <row r="435" spans="3:18" ht="16.5">
      <c r="C435" s="202"/>
      <c r="D435" s="202"/>
      <c r="E435" s="199"/>
      <c r="F435" s="202"/>
      <c r="G435" s="202"/>
      <c r="H435" s="202"/>
      <c r="I435" s="202"/>
      <c r="O435" s="202"/>
      <c r="R435" s="202"/>
    </row>
    <row r="436" spans="3:18" ht="16.5">
      <c r="C436" s="202"/>
      <c r="D436" s="202"/>
      <c r="E436" s="199"/>
      <c r="F436" s="202"/>
      <c r="G436" s="202"/>
      <c r="H436" s="202"/>
      <c r="I436" s="202"/>
      <c r="O436" s="202"/>
      <c r="R436" s="202"/>
    </row>
    <row r="437" spans="3:18" ht="16.5">
      <c r="C437" s="202"/>
      <c r="D437" s="202"/>
      <c r="E437" s="199"/>
      <c r="F437" s="202"/>
      <c r="G437" s="202"/>
      <c r="H437" s="202"/>
      <c r="I437" s="202"/>
      <c r="O437" s="202"/>
      <c r="R437" s="202"/>
    </row>
    <row r="438" spans="3:18" ht="16.5">
      <c r="C438" s="202"/>
      <c r="D438" s="202"/>
      <c r="E438" s="199"/>
      <c r="F438" s="202"/>
      <c r="G438" s="202"/>
      <c r="H438" s="202"/>
      <c r="I438" s="202"/>
      <c r="O438" s="202"/>
      <c r="R438" s="202"/>
    </row>
    <row r="439" spans="3:18" ht="16.5">
      <c r="C439" s="202"/>
      <c r="D439" s="202"/>
      <c r="E439" s="199"/>
      <c r="F439" s="202"/>
      <c r="G439" s="202"/>
      <c r="H439" s="202"/>
      <c r="I439" s="202"/>
      <c r="O439" s="202"/>
      <c r="R439" s="202"/>
    </row>
    <row r="440" spans="3:18" ht="16.5">
      <c r="C440" s="202"/>
      <c r="D440" s="202"/>
      <c r="E440" s="199"/>
      <c r="F440" s="202"/>
      <c r="G440" s="202"/>
      <c r="H440" s="202"/>
      <c r="I440" s="202"/>
      <c r="O440" s="202"/>
      <c r="R440" s="202"/>
    </row>
    <row r="441" spans="3:18" ht="16.5">
      <c r="C441" s="202"/>
      <c r="D441" s="202"/>
      <c r="E441" s="199"/>
      <c r="F441" s="202"/>
      <c r="G441" s="202"/>
      <c r="H441" s="202"/>
      <c r="I441" s="202"/>
      <c r="O441" s="202"/>
      <c r="R441" s="202"/>
    </row>
    <row r="442" spans="3:18" ht="16.5">
      <c r="C442" s="202"/>
      <c r="D442" s="202"/>
      <c r="E442" s="199"/>
      <c r="F442" s="202"/>
      <c r="G442" s="202"/>
      <c r="H442" s="202"/>
      <c r="I442" s="202"/>
      <c r="O442" s="202"/>
      <c r="R442" s="202"/>
    </row>
    <row r="443" spans="3:18" ht="16.5">
      <c r="C443" s="202"/>
      <c r="D443" s="202"/>
      <c r="E443" s="199"/>
      <c r="F443" s="202"/>
      <c r="G443" s="202"/>
      <c r="H443" s="202"/>
      <c r="I443" s="202"/>
      <c r="O443" s="202"/>
      <c r="R443" s="202"/>
    </row>
    <row r="444" spans="3:18" ht="16.5">
      <c r="C444" s="202"/>
      <c r="D444" s="202"/>
      <c r="E444" s="199"/>
      <c r="F444" s="202"/>
      <c r="G444" s="202"/>
      <c r="H444" s="202"/>
      <c r="I444" s="202"/>
      <c r="O444" s="202"/>
      <c r="R444" s="202"/>
    </row>
    <row r="445" spans="3:18" ht="16.5">
      <c r="C445" s="202"/>
      <c r="D445" s="202"/>
      <c r="E445" s="199"/>
      <c r="F445" s="202"/>
      <c r="G445" s="202"/>
      <c r="H445" s="202"/>
      <c r="I445" s="202"/>
      <c r="O445" s="202"/>
      <c r="R445" s="202"/>
    </row>
    <row r="446" spans="3:18" ht="16.5">
      <c r="C446" s="202"/>
      <c r="D446" s="202"/>
      <c r="E446" s="199"/>
      <c r="F446" s="202"/>
      <c r="G446" s="202"/>
      <c r="H446" s="202"/>
      <c r="I446" s="202"/>
      <c r="O446" s="202"/>
      <c r="R446" s="202"/>
    </row>
    <row r="447" spans="3:18" ht="16.5">
      <c r="C447" s="202"/>
      <c r="D447" s="202"/>
      <c r="E447" s="199"/>
      <c r="F447" s="202"/>
      <c r="G447" s="202"/>
      <c r="H447" s="202"/>
      <c r="I447" s="202"/>
      <c r="O447" s="202"/>
      <c r="R447" s="202"/>
    </row>
    <row r="448" spans="3:18" ht="16.5">
      <c r="C448" s="202"/>
      <c r="D448" s="202"/>
      <c r="E448" s="199"/>
      <c r="F448" s="202"/>
      <c r="G448" s="202"/>
      <c r="H448" s="202"/>
      <c r="I448" s="202"/>
      <c r="O448" s="202"/>
      <c r="R448" s="202"/>
    </row>
    <row r="449" spans="3:18" ht="16.5">
      <c r="C449" s="202"/>
      <c r="D449" s="202"/>
      <c r="E449" s="199"/>
      <c r="F449" s="202"/>
      <c r="G449" s="202"/>
      <c r="H449" s="202"/>
      <c r="I449" s="202"/>
      <c r="O449" s="202"/>
      <c r="R449" s="202"/>
    </row>
    <row r="450" spans="3:18" ht="16.5">
      <c r="C450" s="202"/>
      <c r="D450" s="202"/>
      <c r="E450" s="199"/>
      <c r="F450" s="202"/>
      <c r="G450" s="202"/>
      <c r="H450" s="202"/>
      <c r="I450" s="202"/>
      <c r="O450" s="202"/>
      <c r="R450" s="202"/>
    </row>
    <row r="451" spans="3:18" ht="16.5">
      <c r="C451" s="202"/>
      <c r="D451" s="202"/>
      <c r="E451" s="199"/>
      <c r="F451" s="202"/>
      <c r="G451" s="202"/>
      <c r="H451" s="202"/>
      <c r="I451" s="202"/>
      <c r="O451" s="202"/>
      <c r="R451" s="202"/>
    </row>
    <row r="452" spans="3:18" ht="16.5">
      <c r="C452" s="202"/>
      <c r="D452" s="202"/>
      <c r="E452" s="199"/>
      <c r="F452" s="202"/>
      <c r="G452" s="202"/>
      <c r="H452" s="202"/>
      <c r="I452" s="202"/>
      <c r="O452" s="202"/>
      <c r="R452" s="202"/>
    </row>
    <row r="453" spans="3:18" ht="16.5">
      <c r="C453" s="202"/>
      <c r="D453" s="202"/>
      <c r="E453" s="199"/>
      <c r="F453" s="202"/>
      <c r="G453" s="202"/>
      <c r="H453" s="202"/>
      <c r="I453" s="202"/>
      <c r="O453" s="202"/>
      <c r="R453" s="202"/>
    </row>
    <row r="454" spans="3:18" ht="16.5">
      <c r="C454" s="202"/>
      <c r="D454" s="202"/>
      <c r="E454" s="199"/>
      <c r="F454" s="202"/>
      <c r="G454" s="202"/>
      <c r="H454" s="202"/>
      <c r="I454" s="202"/>
      <c r="O454" s="202"/>
      <c r="R454" s="202"/>
    </row>
    <row r="455" spans="3:18" ht="16.5">
      <c r="C455" s="202"/>
      <c r="D455" s="202"/>
      <c r="E455" s="199"/>
      <c r="F455" s="202"/>
      <c r="G455" s="202"/>
      <c r="H455" s="202"/>
      <c r="I455" s="202"/>
      <c r="O455" s="202"/>
      <c r="R455" s="202"/>
    </row>
    <row r="456" spans="3:18" ht="16.5">
      <c r="C456" s="202"/>
      <c r="D456" s="202"/>
      <c r="E456" s="199"/>
      <c r="F456" s="202"/>
      <c r="G456" s="202"/>
      <c r="H456" s="202"/>
      <c r="I456" s="202"/>
      <c r="O456" s="202"/>
      <c r="R456" s="202"/>
    </row>
    <row r="457" spans="3:18" ht="16.5">
      <c r="C457" s="202"/>
      <c r="D457" s="202"/>
      <c r="E457" s="199"/>
      <c r="F457" s="202"/>
      <c r="G457" s="202"/>
      <c r="H457" s="202"/>
      <c r="I457" s="202"/>
      <c r="O457" s="202"/>
      <c r="R457" s="202"/>
    </row>
    <row r="458" spans="3:18" ht="16.5">
      <c r="C458" s="202"/>
      <c r="D458" s="202"/>
      <c r="E458" s="199"/>
      <c r="F458" s="202"/>
      <c r="G458" s="202"/>
      <c r="H458" s="202"/>
      <c r="I458" s="202"/>
      <c r="O458" s="202"/>
      <c r="R458" s="202"/>
    </row>
    <row r="459" spans="3:18" ht="16.5">
      <c r="C459" s="202"/>
      <c r="D459" s="202"/>
      <c r="E459" s="199"/>
      <c r="F459" s="202"/>
      <c r="G459" s="202"/>
      <c r="H459" s="202"/>
      <c r="I459" s="202"/>
      <c r="O459" s="202"/>
      <c r="R459" s="202"/>
    </row>
    <row r="460" spans="3:18" ht="16.5">
      <c r="C460" s="202"/>
      <c r="D460" s="202"/>
      <c r="E460" s="199"/>
      <c r="F460" s="202"/>
      <c r="G460" s="202"/>
      <c r="H460" s="202"/>
      <c r="I460" s="202"/>
      <c r="O460" s="202"/>
      <c r="R460" s="202"/>
    </row>
    <row r="461" spans="3:18" ht="16.5">
      <c r="C461" s="202"/>
      <c r="D461" s="202"/>
      <c r="E461" s="199"/>
      <c r="F461" s="202"/>
      <c r="G461" s="202"/>
      <c r="H461" s="202"/>
      <c r="I461" s="202"/>
      <c r="O461" s="202"/>
      <c r="R461" s="202"/>
    </row>
    <row r="462" spans="3:18" ht="16.5">
      <c r="C462" s="202"/>
      <c r="D462" s="202"/>
      <c r="E462" s="199"/>
      <c r="F462" s="202"/>
      <c r="G462" s="202"/>
      <c r="H462" s="202"/>
      <c r="I462" s="202"/>
      <c r="O462" s="202"/>
      <c r="R462" s="202"/>
    </row>
    <row r="463" spans="3:18" ht="16.5">
      <c r="C463" s="202"/>
      <c r="D463" s="202"/>
      <c r="E463" s="199"/>
      <c r="F463" s="202"/>
      <c r="G463" s="202"/>
      <c r="H463" s="202"/>
      <c r="I463" s="202"/>
      <c r="O463" s="202"/>
      <c r="R463" s="202"/>
    </row>
    <row r="464" spans="3:18" ht="16.5">
      <c r="C464" s="202"/>
      <c r="D464" s="202"/>
      <c r="E464" s="199"/>
      <c r="F464" s="202"/>
      <c r="G464" s="202"/>
      <c r="H464" s="202"/>
      <c r="I464" s="202"/>
      <c r="O464" s="202"/>
      <c r="R464" s="202"/>
    </row>
    <row r="465" spans="3:18" ht="16.5">
      <c r="C465" s="202"/>
      <c r="D465" s="202"/>
      <c r="E465" s="199"/>
      <c r="F465" s="202"/>
      <c r="G465" s="202"/>
      <c r="H465" s="202"/>
      <c r="I465" s="202"/>
      <c r="O465" s="202"/>
      <c r="R465" s="202"/>
    </row>
    <row r="466" spans="3:18" ht="16.5">
      <c r="C466" s="202"/>
      <c r="D466" s="202"/>
      <c r="E466" s="199"/>
      <c r="F466" s="202"/>
      <c r="G466" s="202"/>
      <c r="H466" s="202"/>
      <c r="I466" s="202"/>
      <c r="O466" s="202"/>
      <c r="R466" s="202"/>
    </row>
    <row r="467" spans="3:18" ht="16.5">
      <c r="C467" s="202"/>
      <c r="D467" s="202"/>
      <c r="E467" s="199"/>
      <c r="F467" s="202"/>
      <c r="G467" s="202"/>
      <c r="H467" s="202"/>
      <c r="I467" s="202"/>
      <c r="O467" s="202"/>
      <c r="R467" s="202"/>
    </row>
    <row r="468" spans="3:18" ht="16.5">
      <c r="C468" s="202"/>
      <c r="D468" s="202"/>
      <c r="E468" s="199"/>
      <c r="F468" s="202"/>
      <c r="G468" s="202"/>
      <c r="H468" s="202"/>
      <c r="I468" s="202"/>
      <c r="O468" s="202"/>
      <c r="R468" s="202"/>
    </row>
    <row r="469" spans="3:18" ht="16.5">
      <c r="C469" s="202"/>
      <c r="D469" s="202"/>
      <c r="E469" s="199"/>
      <c r="F469" s="202"/>
      <c r="G469" s="202"/>
      <c r="H469" s="202"/>
      <c r="I469" s="202"/>
      <c r="O469" s="202"/>
      <c r="R469" s="202"/>
    </row>
    <row r="470" spans="3:18" ht="16.5">
      <c r="C470" s="202"/>
      <c r="D470" s="202"/>
      <c r="E470" s="199"/>
      <c r="F470" s="202"/>
      <c r="G470" s="202"/>
      <c r="H470" s="202"/>
      <c r="I470" s="202"/>
      <c r="O470" s="202"/>
      <c r="R470" s="202"/>
    </row>
    <row r="471" spans="3:18" ht="16.5">
      <c r="C471" s="202"/>
      <c r="D471" s="202"/>
      <c r="E471" s="199"/>
      <c r="F471" s="202"/>
      <c r="G471" s="202"/>
      <c r="H471" s="202"/>
      <c r="I471" s="202"/>
      <c r="O471" s="202"/>
      <c r="R471" s="202"/>
    </row>
    <row r="472" spans="3:18" ht="16.5">
      <c r="C472" s="202"/>
      <c r="D472" s="202"/>
      <c r="E472" s="199"/>
      <c r="F472" s="202"/>
      <c r="G472" s="202"/>
      <c r="H472" s="202"/>
      <c r="I472" s="202"/>
      <c r="O472" s="202"/>
      <c r="R472" s="202"/>
    </row>
    <row r="473" spans="3:18" ht="16.5">
      <c r="C473" s="202"/>
      <c r="D473" s="202"/>
      <c r="E473" s="199"/>
      <c r="F473" s="202"/>
      <c r="G473" s="202"/>
      <c r="H473" s="202"/>
      <c r="I473" s="202"/>
      <c r="O473" s="202"/>
      <c r="R473" s="202"/>
    </row>
    <row r="474" spans="3:18" ht="16.5">
      <c r="C474" s="202"/>
      <c r="D474" s="202"/>
      <c r="E474" s="199"/>
      <c r="F474" s="202"/>
      <c r="G474" s="202"/>
      <c r="H474" s="202"/>
      <c r="I474" s="202"/>
      <c r="O474" s="202"/>
      <c r="R474" s="202"/>
    </row>
    <row r="475" spans="3:18" ht="16.5">
      <c r="C475" s="202"/>
      <c r="D475" s="202"/>
      <c r="E475" s="199"/>
      <c r="F475" s="202"/>
      <c r="G475" s="202"/>
      <c r="H475" s="202"/>
      <c r="I475" s="202"/>
      <c r="O475" s="202"/>
      <c r="R475" s="202"/>
    </row>
    <row r="476" spans="3:18" ht="16.5">
      <c r="C476" s="202"/>
      <c r="D476" s="202"/>
      <c r="E476" s="199"/>
      <c r="F476" s="202"/>
      <c r="G476" s="202"/>
      <c r="H476" s="202"/>
      <c r="I476" s="202"/>
      <c r="O476" s="202"/>
      <c r="R476" s="202"/>
    </row>
    <row r="477" spans="3:18" ht="16.5">
      <c r="C477" s="202"/>
      <c r="D477" s="202"/>
      <c r="E477" s="199"/>
      <c r="F477" s="202"/>
      <c r="G477" s="202"/>
      <c r="H477" s="202"/>
      <c r="I477" s="202"/>
      <c r="O477" s="202"/>
      <c r="R477" s="202"/>
    </row>
    <row r="478" spans="3:18" ht="16.5">
      <c r="C478" s="202"/>
      <c r="D478" s="202"/>
      <c r="E478" s="199"/>
      <c r="F478" s="202"/>
      <c r="G478" s="202"/>
      <c r="H478" s="202"/>
      <c r="I478" s="202"/>
      <c r="O478" s="202"/>
      <c r="R478" s="202"/>
    </row>
    <row r="479" spans="3:18" ht="16.5">
      <c r="C479" s="202"/>
      <c r="D479" s="202"/>
      <c r="E479" s="199"/>
      <c r="F479" s="202"/>
      <c r="G479" s="202"/>
      <c r="H479" s="202"/>
      <c r="I479" s="202"/>
      <c r="O479" s="202"/>
      <c r="R479" s="202"/>
    </row>
    <row r="480" spans="3:18" ht="16.5">
      <c r="C480" s="202"/>
      <c r="D480" s="202"/>
      <c r="E480" s="199"/>
      <c r="F480" s="202"/>
      <c r="G480" s="202"/>
      <c r="H480" s="202"/>
      <c r="I480" s="202"/>
      <c r="O480" s="202"/>
      <c r="R480" s="202"/>
    </row>
    <row r="481" spans="3:18" ht="16.5">
      <c r="C481" s="202"/>
      <c r="D481" s="202"/>
      <c r="E481" s="199"/>
      <c r="F481" s="202"/>
      <c r="G481" s="202"/>
      <c r="H481" s="202"/>
      <c r="I481" s="202"/>
      <c r="O481" s="202"/>
      <c r="R481" s="202"/>
    </row>
    <row r="482" spans="3:18" ht="16.5">
      <c r="C482" s="202"/>
      <c r="D482" s="202"/>
      <c r="E482" s="199"/>
      <c r="F482" s="202"/>
      <c r="G482" s="202"/>
      <c r="H482" s="202"/>
      <c r="I482" s="202"/>
      <c r="O482" s="202"/>
      <c r="R482" s="202"/>
    </row>
    <row r="483" spans="3:18" ht="16.5">
      <c r="C483" s="202"/>
      <c r="D483" s="202"/>
      <c r="E483" s="199"/>
      <c r="F483" s="202"/>
      <c r="G483" s="202"/>
      <c r="H483" s="202"/>
      <c r="I483" s="202"/>
      <c r="O483" s="202"/>
      <c r="R483" s="202"/>
    </row>
    <row r="484" spans="3:18" ht="16.5">
      <c r="C484" s="202"/>
      <c r="D484" s="202"/>
      <c r="E484" s="199"/>
      <c r="F484" s="202"/>
      <c r="G484" s="202"/>
      <c r="H484" s="202"/>
      <c r="I484" s="202"/>
      <c r="O484" s="202"/>
      <c r="R484" s="202"/>
    </row>
    <row r="485" spans="3:18" ht="16.5">
      <c r="C485" s="202"/>
      <c r="D485" s="202"/>
      <c r="E485" s="199"/>
      <c r="F485" s="202"/>
      <c r="G485" s="202"/>
      <c r="H485" s="202"/>
      <c r="I485" s="202"/>
      <c r="O485" s="202"/>
      <c r="R485" s="202"/>
    </row>
    <row r="486" spans="3:18" ht="16.5">
      <c r="C486" s="202"/>
      <c r="D486" s="202"/>
      <c r="E486" s="199"/>
      <c r="F486" s="202"/>
      <c r="G486" s="202"/>
      <c r="H486" s="202"/>
      <c r="I486" s="202"/>
      <c r="O486" s="202"/>
      <c r="R486" s="202"/>
    </row>
    <row r="487" spans="3:18" ht="16.5">
      <c r="C487" s="202"/>
      <c r="D487" s="202"/>
      <c r="E487" s="199"/>
      <c r="F487" s="202"/>
      <c r="G487" s="202"/>
      <c r="H487" s="202"/>
      <c r="I487" s="202"/>
      <c r="O487" s="202"/>
      <c r="R487" s="202"/>
    </row>
    <row r="488" spans="3:18" ht="16.5">
      <c r="C488" s="202"/>
      <c r="D488" s="202"/>
      <c r="E488" s="199"/>
      <c r="F488" s="202"/>
      <c r="G488" s="202"/>
      <c r="H488" s="202"/>
      <c r="I488" s="202"/>
      <c r="O488" s="202"/>
      <c r="R488" s="202"/>
    </row>
    <row r="489" spans="3:18" ht="16.5">
      <c r="C489" s="202"/>
      <c r="D489" s="202"/>
      <c r="E489" s="199"/>
      <c r="F489" s="202"/>
      <c r="G489" s="202"/>
      <c r="H489" s="202"/>
      <c r="I489" s="202"/>
      <c r="O489" s="202"/>
      <c r="R489" s="202"/>
    </row>
    <row r="490" spans="3:18" ht="16.5">
      <c r="C490" s="202"/>
      <c r="D490" s="202"/>
      <c r="E490" s="199"/>
      <c r="F490" s="202"/>
      <c r="G490" s="202"/>
      <c r="H490" s="202"/>
      <c r="I490" s="202"/>
      <c r="O490" s="202"/>
      <c r="R490" s="202"/>
    </row>
    <row r="491" spans="3:18" ht="16.5">
      <c r="C491" s="202"/>
      <c r="D491" s="202"/>
      <c r="E491" s="199"/>
      <c r="F491" s="202"/>
      <c r="G491" s="202"/>
      <c r="H491" s="202"/>
      <c r="I491" s="202"/>
      <c r="O491" s="202"/>
      <c r="R491" s="202"/>
    </row>
    <row r="492" spans="3:18" ht="16.5">
      <c r="C492" s="202"/>
      <c r="D492" s="202"/>
      <c r="E492" s="199"/>
      <c r="F492" s="202"/>
      <c r="G492" s="202"/>
      <c r="H492" s="202"/>
      <c r="I492" s="202"/>
      <c r="O492" s="202"/>
      <c r="R492" s="202"/>
    </row>
    <row r="493" spans="3:18" ht="16.5">
      <c r="C493" s="202"/>
      <c r="D493" s="202"/>
      <c r="E493" s="199"/>
      <c r="F493" s="202"/>
      <c r="G493" s="202"/>
      <c r="H493" s="202"/>
      <c r="I493" s="202"/>
      <c r="O493" s="202"/>
      <c r="R493" s="202"/>
    </row>
    <row r="494" spans="3:18" ht="16.5">
      <c r="C494" s="202"/>
      <c r="D494" s="202"/>
      <c r="E494" s="199"/>
      <c r="F494" s="202"/>
      <c r="G494" s="202"/>
      <c r="H494" s="202"/>
      <c r="I494" s="202"/>
      <c r="O494" s="202"/>
      <c r="R494" s="202"/>
    </row>
    <row r="495" spans="3:18" ht="16.5">
      <c r="C495" s="202"/>
      <c r="D495" s="202"/>
      <c r="E495" s="199"/>
      <c r="F495" s="202"/>
      <c r="G495" s="202"/>
      <c r="H495" s="202"/>
      <c r="I495" s="202"/>
      <c r="O495" s="202"/>
      <c r="R495" s="202"/>
    </row>
    <row r="496" spans="3:18" ht="16.5">
      <c r="C496" s="202"/>
      <c r="D496" s="202"/>
      <c r="E496" s="199"/>
      <c r="F496" s="202"/>
      <c r="G496" s="202"/>
      <c r="H496" s="202"/>
      <c r="I496" s="202"/>
      <c r="O496" s="202"/>
      <c r="R496" s="202"/>
    </row>
    <row r="497" spans="3:18" ht="16.5">
      <c r="C497" s="202"/>
      <c r="D497" s="202"/>
      <c r="E497" s="199"/>
      <c r="F497" s="202"/>
      <c r="G497" s="202"/>
      <c r="H497" s="202"/>
      <c r="I497" s="202"/>
      <c r="O497" s="202"/>
      <c r="R497" s="202"/>
    </row>
    <row r="498" spans="3:18" ht="16.5">
      <c r="C498" s="202"/>
      <c r="D498" s="202"/>
      <c r="E498" s="199"/>
      <c r="F498" s="202"/>
      <c r="G498" s="202"/>
      <c r="H498" s="202"/>
      <c r="I498" s="202"/>
      <c r="O498" s="202"/>
      <c r="R498" s="202"/>
    </row>
    <row r="499" spans="3:18" ht="16.5">
      <c r="C499" s="202"/>
      <c r="D499" s="202"/>
      <c r="E499" s="199"/>
      <c r="F499" s="202"/>
      <c r="G499" s="202"/>
      <c r="H499" s="202"/>
      <c r="I499" s="202"/>
      <c r="O499" s="202"/>
      <c r="R499" s="202"/>
    </row>
    <row r="500" spans="3:18" ht="16.5">
      <c r="C500" s="202"/>
      <c r="D500" s="202"/>
      <c r="E500" s="199"/>
      <c r="F500" s="202"/>
      <c r="G500" s="202"/>
      <c r="H500" s="202"/>
      <c r="I500" s="202"/>
      <c r="O500" s="202"/>
      <c r="R500" s="202"/>
    </row>
    <row r="501" spans="3:18" ht="16.5">
      <c r="C501" s="202"/>
      <c r="D501" s="202"/>
      <c r="E501" s="199"/>
      <c r="F501" s="202"/>
      <c r="G501" s="202"/>
      <c r="H501" s="202"/>
      <c r="I501" s="202"/>
      <c r="O501" s="202"/>
      <c r="R501" s="202"/>
    </row>
    <row r="502" spans="3:18" ht="16.5">
      <c r="C502" s="202"/>
      <c r="D502" s="202"/>
      <c r="E502" s="199"/>
      <c r="F502" s="202"/>
      <c r="G502" s="202"/>
      <c r="H502" s="202"/>
      <c r="I502" s="202"/>
      <c r="O502" s="202"/>
      <c r="R502" s="202"/>
    </row>
    <row r="503" spans="3:18" ht="16.5">
      <c r="C503" s="202"/>
      <c r="D503" s="202"/>
      <c r="E503" s="199"/>
      <c r="F503" s="202"/>
      <c r="G503" s="202"/>
      <c r="H503" s="202"/>
      <c r="I503" s="202"/>
      <c r="O503" s="202"/>
      <c r="R503" s="202"/>
    </row>
    <row r="504" spans="3:18" ht="16.5">
      <c r="C504" s="202"/>
      <c r="D504" s="202"/>
      <c r="E504" s="199"/>
      <c r="F504" s="202"/>
      <c r="G504" s="202"/>
      <c r="H504" s="202"/>
      <c r="I504" s="202"/>
      <c r="O504" s="202"/>
      <c r="R504" s="202"/>
    </row>
    <row r="505" spans="3:18" ht="16.5">
      <c r="C505" s="202"/>
      <c r="D505" s="202"/>
      <c r="E505" s="199"/>
      <c r="F505" s="202"/>
      <c r="G505" s="202"/>
      <c r="H505" s="202"/>
      <c r="I505" s="202"/>
      <c r="O505" s="202"/>
      <c r="R505" s="202"/>
    </row>
    <row r="506" spans="3:18" ht="16.5">
      <c r="C506" s="202"/>
      <c r="D506" s="202"/>
      <c r="E506" s="199"/>
      <c r="F506" s="202"/>
      <c r="G506" s="202"/>
      <c r="H506" s="202"/>
      <c r="I506" s="202"/>
      <c r="O506" s="202"/>
      <c r="R506" s="202"/>
    </row>
    <row r="507" spans="3:18" ht="16.5">
      <c r="C507" s="202"/>
      <c r="D507" s="202"/>
      <c r="E507" s="199"/>
      <c r="F507" s="202"/>
      <c r="G507" s="202"/>
      <c r="H507" s="202"/>
      <c r="I507" s="202"/>
      <c r="O507" s="202"/>
      <c r="R507" s="202"/>
    </row>
    <row r="508" spans="3:18" ht="16.5">
      <c r="C508" s="202"/>
      <c r="D508" s="202"/>
      <c r="E508" s="199"/>
      <c r="F508" s="202"/>
      <c r="G508" s="202"/>
      <c r="H508" s="202"/>
      <c r="I508" s="202"/>
      <c r="O508" s="202"/>
      <c r="R508" s="202"/>
    </row>
    <row r="509" spans="3:18" ht="16.5">
      <c r="C509" s="202"/>
      <c r="D509" s="202"/>
      <c r="E509" s="199"/>
      <c r="F509" s="202"/>
      <c r="G509" s="202"/>
      <c r="H509" s="202"/>
      <c r="I509" s="202"/>
      <c r="O509" s="202"/>
      <c r="R509" s="202"/>
    </row>
    <row r="510" spans="3:18" ht="16.5">
      <c r="C510" s="202"/>
      <c r="D510" s="202"/>
      <c r="E510" s="199"/>
      <c r="F510" s="202"/>
      <c r="G510" s="202"/>
      <c r="H510" s="202"/>
      <c r="I510" s="202"/>
      <c r="O510" s="202"/>
      <c r="R510" s="202"/>
    </row>
    <row r="511" spans="3:18" ht="16.5">
      <c r="C511" s="202"/>
      <c r="D511" s="202"/>
      <c r="E511" s="199"/>
      <c r="F511" s="202"/>
      <c r="G511" s="202"/>
      <c r="H511" s="202"/>
      <c r="I511" s="202"/>
      <c r="O511" s="202"/>
      <c r="R511" s="202"/>
    </row>
    <row r="512" spans="3:18" ht="16.5">
      <c r="C512" s="202"/>
      <c r="D512" s="202"/>
      <c r="E512" s="199"/>
      <c r="F512" s="202"/>
      <c r="G512" s="202"/>
      <c r="H512" s="202"/>
      <c r="I512" s="202"/>
      <c r="O512" s="202"/>
      <c r="R512" s="202"/>
    </row>
    <row r="513" spans="3:18" ht="16.5">
      <c r="C513" s="202"/>
      <c r="D513" s="202"/>
      <c r="E513" s="199"/>
      <c r="F513" s="202"/>
      <c r="G513" s="202"/>
      <c r="H513" s="202"/>
      <c r="I513" s="202"/>
      <c r="O513" s="202"/>
      <c r="R513" s="202"/>
    </row>
    <row r="514" spans="3:18" ht="16.5">
      <c r="C514" s="202"/>
      <c r="D514" s="202"/>
      <c r="E514" s="199"/>
      <c r="F514" s="202"/>
      <c r="G514" s="202"/>
      <c r="H514" s="202"/>
      <c r="I514" s="202"/>
      <c r="O514" s="202"/>
      <c r="R514" s="202"/>
    </row>
    <row r="515" spans="3:18" ht="16.5">
      <c r="C515" s="202"/>
      <c r="D515" s="202"/>
      <c r="E515" s="199"/>
      <c r="F515" s="202"/>
      <c r="G515" s="202"/>
      <c r="H515" s="202"/>
      <c r="I515" s="202"/>
      <c r="O515" s="202"/>
      <c r="R515" s="202"/>
    </row>
    <row r="516" spans="3:18" ht="16.5">
      <c r="C516" s="202"/>
      <c r="D516" s="202"/>
      <c r="E516" s="199"/>
      <c r="F516" s="202"/>
      <c r="G516" s="202"/>
      <c r="H516" s="202"/>
      <c r="I516" s="202"/>
      <c r="O516" s="202"/>
      <c r="R516" s="202"/>
    </row>
    <row r="517" spans="3:18" ht="16.5">
      <c r="C517" s="202"/>
      <c r="D517" s="202"/>
      <c r="E517" s="199"/>
      <c r="F517" s="202"/>
      <c r="G517" s="202"/>
      <c r="H517" s="202"/>
      <c r="I517" s="202"/>
      <c r="O517" s="202"/>
      <c r="R517" s="202"/>
    </row>
    <row r="518" spans="3:18" ht="16.5">
      <c r="C518" s="202"/>
      <c r="D518" s="202"/>
      <c r="E518" s="199"/>
      <c r="F518" s="202"/>
      <c r="G518" s="202"/>
      <c r="H518" s="202"/>
      <c r="I518" s="202"/>
      <c r="O518" s="202"/>
      <c r="R518" s="202"/>
    </row>
    <row r="519" spans="3:18" ht="16.5">
      <c r="C519" s="202"/>
      <c r="D519" s="202"/>
      <c r="E519" s="199"/>
      <c r="F519" s="202"/>
      <c r="G519" s="202"/>
      <c r="H519" s="202"/>
      <c r="I519" s="202"/>
      <c r="O519" s="202"/>
      <c r="R519" s="202"/>
    </row>
    <row r="520" spans="3:18" ht="16.5">
      <c r="C520" s="202"/>
      <c r="D520" s="202"/>
      <c r="E520" s="199"/>
      <c r="F520" s="202"/>
      <c r="G520" s="202"/>
      <c r="H520" s="202"/>
      <c r="I520" s="202"/>
      <c r="O520" s="202"/>
      <c r="R520" s="202"/>
    </row>
    <row r="521" spans="3:18" ht="16.5">
      <c r="C521" s="202"/>
      <c r="D521" s="202"/>
      <c r="E521" s="199"/>
      <c r="F521" s="202"/>
      <c r="G521" s="202"/>
      <c r="H521" s="202"/>
      <c r="I521" s="202"/>
      <c r="O521" s="202"/>
      <c r="R521" s="202"/>
    </row>
    <row r="522" spans="3:18" ht="16.5">
      <c r="C522" s="202"/>
      <c r="D522" s="202"/>
      <c r="E522" s="199"/>
      <c r="F522" s="202"/>
      <c r="G522" s="202"/>
      <c r="H522" s="202"/>
      <c r="I522" s="202"/>
      <c r="O522" s="202"/>
      <c r="R522" s="202"/>
    </row>
    <row r="523" spans="3:18" ht="16.5">
      <c r="C523" s="202"/>
      <c r="D523" s="202"/>
      <c r="E523" s="199"/>
      <c r="F523" s="202"/>
      <c r="G523" s="202"/>
      <c r="H523" s="202"/>
      <c r="I523" s="202"/>
      <c r="O523" s="202"/>
      <c r="R523" s="202"/>
    </row>
    <row r="524" spans="3:18" ht="16.5">
      <c r="C524" s="202"/>
      <c r="D524" s="202"/>
      <c r="E524" s="199"/>
      <c r="F524" s="202"/>
      <c r="G524" s="202"/>
      <c r="H524" s="202"/>
      <c r="I524" s="202"/>
      <c r="O524" s="202"/>
      <c r="R524" s="202"/>
    </row>
    <row r="525" spans="3:18" ht="16.5">
      <c r="C525" s="202"/>
      <c r="D525" s="202"/>
      <c r="E525" s="199"/>
      <c r="F525" s="202"/>
      <c r="G525" s="202"/>
      <c r="H525" s="202"/>
      <c r="I525" s="202"/>
      <c r="O525" s="202"/>
      <c r="R525" s="202"/>
    </row>
    <row r="526" spans="3:18" ht="16.5">
      <c r="C526" s="202"/>
      <c r="D526" s="202"/>
      <c r="E526" s="199"/>
      <c r="F526" s="202"/>
      <c r="G526" s="202"/>
      <c r="H526" s="202"/>
      <c r="I526" s="202"/>
      <c r="O526" s="202"/>
      <c r="R526" s="202"/>
    </row>
    <row r="527" spans="3:18" ht="16.5">
      <c r="C527" s="202"/>
      <c r="D527" s="202"/>
      <c r="E527" s="199"/>
      <c r="F527" s="202"/>
      <c r="G527" s="202"/>
      <c r="H527" s="202"/>
      <c r="I527" s="202"/>
      <c r="O527" s="202"/>
      <c r="R527" s="202"/>
    </row>
    <row r="528" spans="3:18" ht="16.5">
      <c r="C528" s="202"/>
      <c r="D528" s="202"/>
      <c r="E528" s="199"/>
      <c r="F528" s="202"/>
      <c r="G528" s="202"/>
      <c r="H528" s="202"/>
      <c r="I528" s="202"/>
      <c r="O528" s="202"/>
      <c r="R528" s="202"/>
    </row>
    <row r="529" spans="3:18" ht="16.5">
      <c r="C529" s="202"/>
      <c r="D529" s="202"/>
      <c r="E529" s="199"/>
      <c r="F529" s="202"/>
      <c r="G529" s="202"/>
      <c r="H529" s="202"/>
      <c r="I529" s="202"/>
      <c r="O529" s="202"/>
      <c r="R529" s="202"/>
    </row>
    <row r="530" spans="3:18" ht="16.5">
      <c r="C530" s="202"/>
      <c r="D530" s="202"/>
      <c r="E530" s="199"/>
      <c r="F530" s="202"/>
      <c r="G530" s="202"/>
      <c r="H530" s="202"/>
      <c r="I530" s="202"/>
      <c r="O530" s="202"/>
      <c r="R530" s="202"/>
    </row>
    <row r="531" spans="3:18" ht="16.5">
      <c r="C531" s="202"/>
      <c r="D531" s="202"/>
      <c r="E531" s="199"/>
      <c r="F531" s="202"/>
      <c r="G531" s="202"/>
      <c r="H531" s="202"/>
      <c r="I531" s="202"/>
      <c r="O531" s="202"/>
      <c r="R531" s="202"/>
    </row>
    <row r="532" spans="3:18" ht="16.5">
      <c r="C532" s="202"/>
      <c r="D532" s="202"/>
      <c r="E532" s="199"/>
      <c r="F532" s="202"/>
      <c r="G532" s="202"/>
      <c r="H532" s="202"/>
      <c r="I532" s="202"/>
      <c r="O532" s="202"/>
      <c r="R532" s="202"/>
    </row>
    <row r="533" spans="3:18" ht="16.5">
      <c r="C533" s="202"/>
      <c r="D533" s="202"/>
      <c r="E533" s="199"/>
      <c r="F533" s="202"/>
      <c r="G533" s="202"/>
      <c r="H533" s="202"/>
      <c r="I533" s="202"/>
      <c r="O533" s="202"/>
      <c r="R533" s="202"/>
    </row>
    <row r="534" spans="3:18" ht="16.5">
      <c r="C534" s="202"/>
      <c r="D534" s="202"/>
      <c r="E534" s="199"/>
      <c r="F534" s="202"/>
      <c r="G534" s="202"/>
      <c r="H534" s="202"/>
      <c r="I534" s="202"/>
      <c r="O534" s="202"/>
      <c r="R534" s="202"/>
    </row>
    <row r="535" spans="3:18" ht="16.5">
      <c r="C535" s="202"/>
      <c r="D535" s="202"/>
      <c r="E535" s="199"/>
      <c r="F535" s="202"/>
      <c r="G535" s="202"/>
      <c r="H535" s="202"/>
      <c r="I535" s="202"/>
      <c r="O535" s="202"/>
      <c r="R535" s="202"/>
    </row>
    <row r="536" spans="3:18" ht="16.5">
      <c r="C536" s="202"/>
      <c r="D536" s="202"/>
      <c r="E536" s="199"/>
      <c r="F536" s="202"/>
      <c r="G536" s="202"/>
      <c r="H536" s="202"/>
      <c r="I536" s="202"/>
      <c r="O536" s="202"/>
      <c r="R536" s="202"/>
    </row>
    <row r="537" spans="3:18" ht="16.5">
      <c r="C537" s="202"/>
      <c r="D537" s="202"/>
      <c r="E537" s="199"/>
      <c r="F537" s="202"/>
      <c r="G537" s="202"/>
      <c r="H537" s="202"/>
      <c r="I537" s="202"/>
      <c r="O537" s="202"/>
      <c r="R537" s="202"/>
    </row>
    <row r="538" spans="3:18" ht="16.5">
      <c r="C538" s="202"/>
      <c r="D538" s="202"/>
      <c r="E538" s="199"/>
      <c r="F538" s="202"/>
      <c r="G538" s="202"/>
      <c r="H538" s="202"/>
      <c r="I538" s="202"/>
      <c r="O538" s="202"/>
      <c r="R538" s="202"/>
    </row>
    <row r="539" spans="3:18" ht="16.5">
      <c r="C539" s="202"/>
      <c r="D539" s="202"/>
      <c r="E539" s="199"/>
      <c r="F539" s="202"/>
      <c r="G539" s="202"/>
      <c r="H539" s="202"/>
      <c r="I539" s="202"/>
      <c r="O539" s="202"/>
      <c r="R539" s="202"/>
    </row>
    <row r="540" spans="3:18" ht="16.5">
      <c r="C540" s="202"/>
      <c r="D540" s="202"/>
      <c r="E540" s="199"/>
      <c r="F540" s="202"/>
      <c r="G540" s="202"/>
      <c r="H540" s="202"/>
      <c r="I540" s="202"/>
      <c r="O540" s="202"/>
      <c r="R540" s="202"/>
    </row>
    <row r="541" spans="3:18" ht="16.5">
      <c r="C541" s="202"/>
      <c r="D541" s="202"/>
      <c r="E541" s="199"/>
      <c r="F541" s="202"/>
      <c r="G541" s="202"/>
      <c r="H541" s="202"/>
      <c r="I541" s="202"/>
      <c r="O541" s="202"/>
      <c r="R541" s="202"/>
    </row>
    <row r="542" spans="3:18" ht="16.5">
      <c r="C542" s="202"/>
      <c r="D542" s="202"/>
      <c r="E542" s="199"/>
      <c r="F542" s="202"/>
      <c r="G542" s="202"/>
      <c r="H542" s="202"/>
      <c r="I542" s="202"/>
      <c r="O542" s="202"/>
      <c r="R542" s="202"/>
    </row>
    <row r="543" spans="3:18" ht="16.5">
      <c r="C543" s="202"/>
      <c r="D543" s="202"/>
      <c r="E543" s="199"/>
      <c r="F543" s="202"/>
      <c r="G543" s="202"/>
      <c r="H543" s="202"/>
      <c r="I543" s="202"/>
      <c r="O543" s="202"/>
      <c r="R543" s="202"/>
    </row>
    <row r="544" spans="3:18" ht="16.5">
      <c r="C544" s="202"/>
      <c r="D544" s="202"/>
      <c r="E544" s="199"/>
      <c r="F544" s="202"/>
      <c r="G544" s="202"/>
      <c r="H544" s="202"/>
      <c r="I544" s="202"/>
      <c r="O544" s="202"/>
      <c r="R544" s="202"/>
    </row>
    <row r="545" spans="3:18" ht="16.5">
      <c r="C545" s="202"/>
      <c r="D545" s="202"/>
      <c r="E545" s="199"/>
      <c r="F545" s="202"/>
      <c r="G545" s="202"/>
      <c r="H545" s="202"/>
      <c r="I545" s="202"/>
      <c r="O545" s="202"/>
      <c r="R545" s="202"/>
    </row>
    <row r="546" spans="3:18" ht="16.5">
      <c r="C546" s="202"/>
      <c r="D546" s="202"/>
      <c r="E546" s="199"/>
      <c r="F546" s="202"/>
      <c r="G546" s="202"/>
      <c r="H546" s="202"/>
      <c r="I546" s="202"/>
      <c r="O546" s="202"/>
      <c r="R546" s="202"/>
    </row>
    <row r="547" spans="3:18" ht="16.5">
      <c r="C547" s="202"/>
      <c r="D547" s="202"/>
      <c r="E547" s="199"/>
      <c r="F547" s="202"/>
      <c r="G547" s="202"/>
      <c r="H547" s="202"/>
      <c r="I547" s="202"/>
      <c r="O547" s="202"/>
      <c r="R547" s="202"/>
    </row>
    <row r="548" spans="3:18" ht="16.5">
      <c r="C548" s="202"/>
      <c r="D548" s="202"/>
      <c r="E548" s="199"/>
      <c r="F548" s="202"/>
      <c r="G548" s="202"/>
      <c r="H548" s="202"/>
      <c r="I548" s="202"/>
      <c r="O548" s="202"/>
      <c r="R548" s="202"/>
    </row>
    <row r="549" spans="3:18" ht="16.5">
      <c r="C549" s="202"/>
      <c r="D549" s="202"/>
      <c r="E549" s="199"/>
      <c r="F549" s="202"/>
      <c r="G549" s="202"/>
      <c r="H549" s="202"/>
      <c r="I549" s="202"/>
      <c r="O549" s="202"/>
      <c r="R549" s="202"/>
    </row>
    <row r="550" spans="3:18" ht="16.5">
      <c r="C550" s="202"/>
      <c r="D550" s="202"/>
      <c r="E550" s="199"/>
      <c r="F550" s="202"/>
      <c r="G550" s="202"/>
      <c r="H550" s="202"/>
      <c r="I550" s="202"/>
      <c r="O550" s="202"/>
      <c r="R550" s="202"/>
    </row>
    <row r="551" spans="3:18" ht="16.5">
      <c r="C551" s="202"/>
      <c r="D551" s="202"/>
      <c r="E551" s="199"/>
      <c r="F551" s="202"/>
      <c r="G551" s="202"/>
      <c r="H551" s="202"/>
      <c r="I551" s="202"/>
      <c r="O551" s="202"/>
      <c r="R551" s="202"/>
    </row>
    <row r="552" spans="3:18" ht="16.5">
      <c r="C552" s="202"/>
      <c r="D552" s="202"/>
      <c r="E552" s="199"/>
      <c r="F552" s="202"/>
      <c r="G552" s="202"/>
      <c r="H552" s="202"/>
      <c r="I552" s="202"/>
      <c r="O552" s="202"/>
      <c r="R552" s="202"/>
    </row>
    <row r="553" spans="3:18" ht="16.5">
      <c r="C553" s="202"/>
      <c r="D553" s="202"/>
      <c r="E553" s="199"/>
      <c r="F553" s="202"/>
      <c r="G553" s="202"/>
      <c r="H553" s="202"/>
      <c r="I553" s="202"/>
      <c r="O553" s="202"/>
      <c r="R553" s="202"/>
    </row>
    <row r="554" spans="3:18" ht="16.5">
      <c r="C554" s="202"/>
      <c r="D554" s="202"/>
      <c r="E554" s="199"/>
      <c r="F554" s="202"/>
      <c r="G554" s="202"/>
      <c r="H554" s="202"/>
      <c r="I554" s="202"/>
      <c r="O554" s="202"/>
      <c r="R554" s="202"/>
    </row>
    <row r="555" spans="3:18" ht="16.5">
      <c r="C555" s="202"/>
      <c r="D555" s="202"/>
      <c r="E555" s="199"/>
      <c r="F555" s="202"/>
      <c r="G555" s="202"/>
      <c r="H555" s="202"/>
      <c r="I555" s="202"/>
      <c r="O555" s="202"/>
      <c r="R555" s="202"/>
    </row>
    <row r="556" spans="3:18" ht="16.5">
      <c r="C556" s="202"/>
      <c r="D556" s="202"/>
      <c r="E556" s="199"/>
      <c r="F556" s="202"/>
      <c r="G556" s="202"/>
      <c r="H556" s="202"/>
      <c r="I556" s="202"/>
      <c r="O556" s="202"/>
      <c r="R556" s="202"/>
    </row>
    <row r="557" spans="3:18" ht="16.5">
      <c r="C557" s="202"/>
      <c r="D557" s="202"/>
      <c r="E557" s="199"/>
      <c r="F557" s="202"/>
      <c r="G557" s="202"/>
      <c r="H557" s="202"/>
      <c r="I557" s="202"/>
      <c r="O557" s="202"/>
      <c r="R557" s="202"/>
    </row>
    <row r="558" spans="3:18" ht="16.5">
      <c r="C558" s="202"/>
      <c r="D558" s="202"/>
      <c r="E558" s="199"/>
      <c r="F558" s="202"/>
      <c r="G558" s="202"/>
      <c r="H558" s="202"/>
      <c r="I558" s="202"/>
      <c r="O558" s="202"/>
      <c r="R558" s="202"/>
    </row>
    <row r="559" spans="3:18" ht="16.5">
      <c r="C559" s="202"/>
      <c r="D559" s="202"/>
      <c r="E559" s="199"/>
      <c r="F559" s="202"/>
      <c r="G559" s="202"/>
      <c r="H559" s="202"/>
      <c r="I559" s="202"/>
      <c r="O559" s="202"/>
      <c r="R559" s="202"/>
    </row>
    <row r="560" spans="3:18" ht="16.5">
      <c r="C560" s="202"/>
      <c r="D560" s="202"/>
      <c r="E560" s="199"/>
      <c r="F560" s="202"/>
      <c r="G560" s="202"/>
      <c r="H560" s="202"/>
      <c r="I560" s="202"/>
      <c r="O560" s="202"/>
      <c r="R560" s="202"/>
    </row>
    <row r="561" spans="3:18" ht="16.5">
      <c r="C561" s="202"/>
      <c r="D561" s="202"/>
      <c r="E561" s="199"/>
      <c r="F561" s="202"/>
      <c r="G561" s="202"/>
      <c r="H561" s="202"/>
      <c r="I561" s="202"/>
      <c r="O561" s="202"/>
      <c r="R561" s="202"/>
    </row>
    <row r="562" spans="3:18" ht="16.5">
      <c r="C562" s="202"/>
      <c r="D562" s="202"/>
      <c r="E562" s="199"/>
      <c r="F562" s="202"/>
      <c r="G562" s="202"/>
      <c r="H562" s="202"/>
      <c r="I562" s="202"/>
      <c r="O562" s="202"/>
      <c r="R562" s="202"/>
    </row>
    <row r="563" spans="3:18" ht="16.5">
      <c r="C563" s="202"/>
      <c r="D563" s="202"/>
      <c r="E563" s="199"/>
      <c r="F563" s="202"/>
      <c r="G563" s="202"/>
      <c r="H563" s="202"/>
      <c r="I563" s="202"/>
      <c r="O563" s="202"/>
      <c r="R563" s="202"/>
    </row>
    <row r="564" spans="3:18" ht="16.5">
      <c r="C564" s="202"/>
      <c r="D564" s="202"/>
      <c r="E564" s="199"/>
      <c r="F564" s="202"/>
      <c r="G564" s="202"/>
      <c r="H564" s="202"/>
      <c r="I564" s="202"/>
      <c r="O564" s="202"/>
      <c r="R564" s="202"/>
    </row>
    <row r="565" spans="3:18" ht="16.5">
      <c r="C565" s="202"/>
      <c r="D565" s="202"/>
      <c r="E565" s="199"/>
      <c r="F565" s="202"/>
      <c r="G565" s="202"/>
      <c r="H565" s="202"/>
      <c r="I565" s="202"/>
      <c r="O565" s="202"/>
      <c r="R565" s="202"/>
    </row>
    <row r="566" spans="3:18" ht="16.5">
      <c r="C566" s="202"/>
      <c r="D566" s="202"/>
      <c r="E566" s="199"/>
      <c r="F566" s="202"/>
      <c r="G566" s="202"/>
      <c r="H566" s="202"/>
      <c r="I566" s="202"/>
      <c r="O566" s="202"/>
      <c r="R566" s="202"/>
    </row>
    <row r="567" spans="3:18" ht="16.5">
      <c r="C567" s="202"/>
      <c r="D567" s="202"/>
      <c r="E567" s="199"/>
      <c r="F567" s="202"/>
      <c r="G567" s="202"/>
      <c r="H567" s="202"/>
      <c r="I567" s="202"/>
      <c r="O567" s="202"/>
      <c r="R567" s="202"/>
    </row>
    <row r="568" spans="3:18" ht="16.5">
      <c r="C568" s="202"/>
      <c r="D568" s="202"/>
      <c r="E568" s="199"/>
      <c r="F568" s="202"/>
      <c r="G568" s="202"/>
      <c r="H568" s="202"/>
      <c r="I568" s="202"/>
      <c r="O568" s="202"/>
      <c r="R568" s="202"/>
    </row>
    <row r="569" spans="3:18" ht="16.5">
      <c r="C569" s="202"/>
      <c r="D569" s="202"/>
      <c r="E569" s="199"/>
      <c r="F569" s="202"/>
      <c r="G569" s="202"/>
      <c r="H569" s="202"/>
      <c r="I569" s="202"/>
      <c r="O569" s="202"/>
      <c r="R569" s="202"/>
    </row>
    <row r="570" spans="3:18" ht="16.5">
      <c r="C570" s="202"/>
      <c r="D570" s="202"/>
      <c r="E570" s="199"/>
      <c r="F570" s="202"/>
      <c r="G570" s="202"/>
      <c r="H570" s="202"/>
      <c r="I570" s="202"/>
      <c r="O570" s="202"/>
      <c r="R570" s="202"/>
    </row>
    <row r="571" spans="3:18" ht="16.5">
      <c r="C571" s="202"/>
      <c r="D571" s="202"/>
      <c r="E571" s="199"/>
      <c r="F571" s="202"/>
      <c r="G571" s="202"/>
      <c r="H571" s="202"/>
      <c r="I571" s="202"/>
      <c r="O571" s="202"/>
      <c r="R571" s="202"/>
    </row>
    <row r="572" spans="3:18" ht="16.5">
      <c r="C572" s="202"/>
      <c r="D572" s="202"/>
      <c r="E572" s="199"/>
      <c r="F572" s="202"/>
      <c r="G572" s="202"/>
      <c r="H572" s="202"/>
      <c r="I572" s="202"/>
      <c r="O572" s="202"/>
      <c r="R572" s="202"/>
    </row>
    <row r="573" spans="3:18" ht="16.5">
      <c r="C573" s="202"/>
      <c r="D573" s="202"/>
      <c r="E573" s="199"/>
      <c r="F573" s="202"/>
      <c r="G573" s="202"/>
      <c r="H573" s="202"/>
      <c r="I573" s="202"/>
      <c r="O573" s="202"/>
      <c r="R573" s="202"/>
    </row>
    <row r="574" spans="3:18" ht="16.5">
      <c r="C574" s="202"/>
      <c r="D574" s="202"/>
      <c r="E574" s="199"/>
      <c r="F574" s="202"/>
      <c r="G574" s="202"/>
      <c r="H574" s="202"/>
      <c r="I574" s="202"/>
      <c r="O574" s="202"/>
      <c r="R574" s="202"/>
    </row>
    <row r="575" spans="3:18" ht="16.5">
      <c r="C575" s="202"/>
      <c r="D575" s="202"/>
      <c r="E575" s="199"/>
      <c r="F575" s="202"/>
      <c r="G575" s="202"/>
      <c r="H575" s="202"/>
      <c r="I575" s="202"/>
      <c r="O575" s="202"/>
      <c r="R575" s="202"/>
    </row>
    <row r="576" spans="3:18" ht="16.5">
      <c r="C576" s="202"/>
      <c r="D576" s="202"/>
      <c r="E576" s="199"/>
      <c r="F576" s="202"/>
      <c r="G576" s="202"/>
      <c r="H576" s="202"/>
      <c r="I576" s="202"/>
      <c r="O576" s="202"/>
      <c r="R576" s="202"/>
    </row>
    <row r="577" spans="3:18" ht="16.5">
      <c r="C577" s="202"/>
      <c r="D577" s="202"/>
      <c r="E577" s="199"/>
      <c r="F577" s="202"/>
      <c r="G577" s="202"/>
      <c r="H577" s="202"/>
      <c r="I577" s="202"/>
      <c r="O577" s="202"/>
      <c r="R577" s="202"/>
    </row>
    <row r="578" spans="3:18" ht="16.5">
      <c r="C578" s="202"/>
      <c r="D578" s="202"/>
      <c r="E578" s="199"/>
      <c r="F578" s="202"/>
      <c r="G578" s="202"/>
      <c r="H578" s="202"/>
      <c r="I578" s="202"/>
      <c r="O578" s="202"/>
      <c r="R578" s="202"/>
    </row>
    <row r="579" spans="3:18" ht="16.5">
      <c r="C579" s="202"/>
      <c r="D579" s="202"/>
      <c r="E579" s="199"/>
      <c r="F579" s="202"/>
      <c r="G579" s="202"/>
      <c r="H579" s="202"/>
      <c r="I579" s="202"/>
      <c r="O579" s="202"/>
      <c r="R579" s="202"/>
    </row>
    <row r="580" spans="3:18" ht="16.5">
      <c r="C580" s="202"/>
      <c r="D580" s="202"/>
      <c r="E580" s="199"/>
      <c r="F580" s="202"/>
      <c r="G580" s="202"/>
      <c r="H580" s="202"/>
      <c r="I580" s="202"/>
      <c r="O580" s="202"/>
      <c r="R580" s="202"/>
    </row>
    <row r="581" spans="3:18" ht="16.5">
      <c r="C581" s="202"/>
      <c r="D581" s="202"/>
      <c r="E581" s="199"/>
      <c r="F581" s="202"/>
      <c r="G581" s="202"/>
      <c r="H581" s="202"/>
      <c r="I581" s="202"/>
      <c r="O581" s="202"/>
      <c r="R581" s="202"/>
    </row>
    <row r="582" spans="3:18" ht="16.5">
      <c r="C582" s="202"/>
      <c r="D582" s="202"/>
      <c r="E582" s="199"/>
      <c r="F582" s="202"/>
      <c r="G582" s="202"/>
      <c r="H582" s="202"/>
      <c r="I582" s="202"/>
      <c r="O582" s="202"/>
      <c r="R582" s="202"/>
    </row>
    <row r="583" spans="3:18" ht="16.5">
      <c r="C583" s="202"/>
      <c r="D583" s="202"/>
      <c r="E583" s="199"/>
      <c r="F583" s="202"/>
      <c r="G583" s="202"/>
      <c r="H583" s="202"/>
      <c r="I583" s="202"/>
      <c r="O583" s="202"/>
      <c r="R583" s="202"/>
    </row>
    <row r="584" spans="3:18" ht="16.5">
      <c r="C584" s="202"/>
      <c r="D584" s="202"/>
      <c r="E584" s="199"/>
      <c r="F584" s="202"/>
      <c r="G584" s="202"/>
      <c r="H584" s="202"/>
      <c r="I584" s="202"/>
      <c r="O584" s="202"/>
      <c r="R584" s="202"/>
    </row>
    <row r="585" spans="3:18" ht="16.5">
      <c r="C585" s="202"/>
      <c r="D585" s="202"/>
      <c r="E585" s="199"/>
      <c r="F585" s="202"/>
      <c r="G585" s="202"/>
      <c r="H585" s="202"/>
      <c r="I585" s="202"/>
      <c r="O585" s="202"/>
      <c r="R585" s="202"/>
    </row>
    <row r="586" spans="3:18" ht="16.5">
      <c r="C586" s="202"/>
      <c r="D586" s="202"/>
      <c r="E586" s="199"/>
      <c r="F586" s="202"/>
      <c r="G586" s="202"/>
      <c r="H586" s="202"/>
      <c r="I586" s="202"/>
      <c r="O586" s="202"/>
      <c r="R586" s="202"/>
    </row>
    <row r="587" spans="3:18" ht="16.5">
      <c r="C587" s="202"/>
      <c r="D587" s="202"/>
      <c r="E587" s="199"/>
      <c r="F587" s="202"/>
      <c r="G587" s="202"/>
      <c r="H587" s="202"/>
      <c r="I587" s="202"/>
      <c r="O587" s="202"/>
      <c r="R587" s="202"/>
    </row>
    <row r="588" spans="3:18" ht="16.5">
      <c r="C588" s="202"/>
      <c r="D588" s="202"/>
      <c r="E588" s="199"/>
      <c r="F588" s="202"/>
      <c r="G588" s="202"/>
      <c r="H588" s="202"/>
      <c r="I588" s="202"/>
      <c r="O588" s="202"/>
      <c r="R588" s="202"/>
    </row>
    <row r="589" spans="3:18" ht="16.5">
      <c r="C589" s="202"/>
      <c r="D589" s="202"/>
      <c r="E589" s="199"/>
      <c r="F589" s="202"/>
      <c r="G589" s="202"/>
      <c r="H589" s="202"/>
      <c r="I589" s="202"/>
      <c r="O589" s="202"/>
      <c r="R589" s="202"/>
    </row>
    <row r="590" spans="3:18" ht="16.5">
      <c r="C590" s="202"/>
      <c r="D590" s="202"/>
      <c r="E590" s="199"/>
      <c r="F590" s="202"/>
      <c r="G590" s="202"/>
      <c r="H590" s="202"/>
      <c r="I590" s="202"/>
      <c r="O590" s="202"/>
      <c r="R590" s="202"/>
    </row>
    <row r="591" spans="3:18" ht="16.5">
      <c r="C591" s="202"/>
      <c r="D591" s="202"/>
      <c r="E591" s="199"/>
      <c r="F591" s="202"/>
      <c r="G591" s="202"/>
      <c r="H591" s="202"/>
      <c r="I591" s="202"/>
      <c r="O591" s="202"/>
      <c r="R591" s="202"/>
    </row>
    <row r="592" spans="3:18" ht="16.5">
      <c r="C592" s="202"/>
      <c r="D592" s="202"/>
      <c r="E592" s="199"/>
      <c r="F592" s="202"/>
      <c r="G592" s="202"/>
      <c r="H592" s="202"/>
      <c r="I592" s="202"/>
      <c r="O592" s="202"/>
      <c r="R592" s="202"/>
    </row>
    <row r="593" spans="3:18" ht="16.5">
      <c r="C593" s="202"/>
      <c r="D593" s="202"/>
      <c r="E593" s="199"/>
      <c r="F593" s="202"/>
      <c r="G593" s="202"/>
      <c r="H593" s="202"/>
      <c r="I593" s="202"/>
      <c r="O593" s="202"/>
      <c r="R593" s="202"/>
    </row>
    <row r="594" spans="3:18" ht="16.5">
      <c r="C594" s="202"/>
      <c r="D594" s="202"/>
      <c r="E594" s="199"/>
      <c r="F594" s="202"/>
      <c r="G594" s="202"/>
      <c r="H594" s="202"/>
      <c r="I594" s="202"/>
      <c r="O594" s="202"/>
      <c r="R594" s="202"/>
    </row>
    <row r="595" spans="3:18" ht="16.5">
      <c r="C595" s="202"/>
      <c r="D595" s="202"/>
      <c r="E595" s="199"/>
      <c r="F595" s="202"/>
      <c r="G595" s="202"/>
      <c r="H595" s="202"/>
      <c r="I595" s="202"/>
      <c r="O595" s="202"/>
      <c r="R595" s="202"/>
    </row>
    <row r="596" spans="3:18" ht="16.5">
      <c r="C596" s="202"/>
      <c r="D596" s="202"/>
      <c r="E596" s="199"/>
      <c r="F596" s="202"/>
      <c r="G596" s="202"/>
      <c r="H596" s="202"/>
      <c r="I596" s="202"/>
      <c r="O596" s="202"/>
      <c r="R596" s="202"/>
    </row>
    <row r="597" spans="3:18" ht="16.5">
      <c r="C597" s="202"/>
      <c r="D597" s="202"/>
      <c r="E597" s="199"/>
      <c r="F597" s="202"/>
      <c r="G597" s="202"/>
      <c r="H597" s="202"/>
      <c r="I597" s="202"/>
      <c r="O597" s="202"/>
      <c r="R597" s="202"/>
    </row>
    <row r="598" spans="3:18" ht="16.5">
      <c r="C598" s="202"/>
      <c r="D598" s="202"/>
      <c r="E598" s="199"/>
      <c r="F598" s="202"/>
      <c r="G598" s="202"/>
      <c r="H598" s="202"/>
      <c r="I598" s="202"/>
      <c r="O598" s="202"/>
      <c r="R598" s="202"/>
    </row>
    <row r="599" spans="3:18" ht="16.5">
      <c r="C599" s="202"/>
      <c r="D599" s="202"/>
      <c r="E599" s="199"/>
      <c r="F599" s="202"/>
      <c r="G599" s="202"/>
      <c r="H599" s="202"/>
      <c r="I599" s="202"/>
      <c r="O599" s="202"/>
      <c r="R599" s="202"/>
    </row>
    <row r="600" spans="3:18" ht="16.5">
      <c r="C600" s="202"/>
      <c r="D600" s="202"/>
      <c r="E600" s="199"/>
      <c r="F600" s="202"/>
      <c r="G600" s="202"/>
      <c r="H600" s="202"/>
      <c r="I600" s="202"/>
      <c r="O600" s="202"/>
      <c r="R600" s="202"/>
    </row>
    <row r="601" spans="3:18" ht="16.5">
      <c r="C601" s="202"/>
      <c r="D601" s="202"/>
      <c r="E601" s="199"/>
      <c r="F601" s="202"/>
      <c r="G601" s="202"/>
      <c r="H601" s="202"/>
      <c r="I601" s="202"/>
      <c r="O601" s="202"/>
      <c r="R601" s="202"/>
    </row>
    <row r="602" spans="3:18" ht="16.5">
      <c r="C602" s="202"/>
      <c r="D602" s="202"/>
      <c r="E602" s="199"/>
      <c r="F602" s="202"/>
      <c r="G602" s="202"/>
      <c r="H602" s="202"/>
      <c r="I602" s="202"/>
      <c r="O602" s="202"/>
      <c r="R602" s="202"/>
    </row>
    <row r="603" spans="3:18" ht="16.5">
      <c r="C603" s="202"/>
      <c r="D603" s="202"/>
      <c r="E603" s="199"/>
      <c r="F603" s="202"/>
      <c r="G603" s="202"/>
      <c r="H603" s="202"/>
      <c r="I603" s="202"/>
      <c r="O603" s="202"/>
      <c r="R603" s="202"/>
    </row>
    <row r="604" spans="3:18" ht="16.5">
      <c r="C604" s="202"/>
      <c r="D604" s="202"/>
      <c r="E604" s="199"/>
      <c r="F604" s="202"/>
      <c r="G604" s="202"/>
      <c r="H604" s="202"/>
      <c r="I604" s="202"/>
      <c r="O604" s="202"/>
      <c r="R604" s="202"/>
    </row>
    <row r="605" spans="3:18" ht="16.5">
      <c r="C605" s="202"/>
      <c r="D605" s="202"/>
      <c r="E605" s="199"/>
      <c r="F605" s="202"/>
      <c r="G605" s="202"/>
      <c r="H605" s="202"/>
      <c r="I605" s="202"/>
      <c r="O605" s="202"/>
      <c r="R605" s="202"/>
    </row>
    <row r="606" spans="3:18" ht="16.5">
      <c r="C606" s="202"/>
      <c r="D606" s="202"/>
      <c r="E606" s="199"/>
      <c r="F606" s="202"/>
      <c r="G606" s="202"/>
      <c r="H606" s="202"/>
      <c r="I606" s="202"/>
      <c r="O606" s="202"/>
      <c r="R606" s="202"/>
    </row>
    <row r="607" spans="3:18" ht="16.5">
      <c r="C607" s="202"/>
      <c r="D607" s="202"/>
      <c r="E607" s="199"/>
      <c r="F607" s="202"/>
      <c r="G607" s="202"/>
      <c r="H607" s="202"/>
      <c r="I607" s="202"/>
      <c r="O607" s="202"/>
      <c r="R607" s="202"/>
    </row>
    <row r="608" spans="3:18" ht="16.5">
      <c r="C608" s="202"/>
      <c r="D608" s="202"/>
      <c r="E608" s="199"/>
      <c r="F608" s="202"/>
      <c r="G608" s="202"/>
      <c r="H608" s="202"/>
      <c r="I608" s="202"/>
      <c r="O608" s="202"/>
      <c r="R608" s="202"/>
    </row>
    <row r="609" spans="3:18" ht="16.5">
      <c r="C609" s="202"/>
      <c r="D609" s="202"/>
      <c r="E609" s="199"/>
      <c r="F609" s="202"/>
      <c r="G609" s="202"/>
      <c r="H609" s="202"/>
      <c r="I609" s="202"/>
      <c r="O609" s="202"/>
      <c r="R609" s="202"/>
    </row>
    <row r="610" spans="3:18" ht="16.5">
      <c r="C610" s="202"/>
      <c r="D610" s="202"/>
      <c r="E610" s="199"/>
      <c r="F610" s="202"/>
      <c r="G610" s="202"/>
      <c r="H610" s="202"/>
      <c r="I610" s="202"/>
      <c r="O610" s="202"/>
      <c r="R610" s="202"/>
    </row>
    <row r="611" spans="3:18" ht="16.5">
      <c r="C611" s="202"/>
      <c r="D611" s="202"/>
      <c r="E611" s="199"/>
      <c r="F611" s="202"/>
      <c r="G611" s="202"/>
      <c r="H611" s="202"/>
      <c r="I611" s="202"/>
      <c r="O611" s="202"/>
      <c r="R611" s="202"/>
    </row>
    <row r="612" spans="3:18" ht="16.5">
      <c r="C612" s="202"/>
      <c r="D612" s="202"/>
      <c r="E612" s="199"/>
      <c r="F612" s="202"/>
      <c r="G612" s="202"/>
      <c r="H612" s="202"/>
      <c r="I612" s="202"/>
      <c r="O612" s="202"/>
      <c r="R612" s="202"/>
    </row>
    <row r="613" spans="3:18" ht="16.5">
      <c r="C613" s="202"/>
      <c r="D613" s="202"/>
      <c r="E613" s="199"/>
      <c r="F613" s="202"/>
      <c r="G613" s="202"/>
      <c r="H613" s="202"/>
      <c r="I613" s="202"/>
      <c r="O613" s="202"/>
      <c r="R613" s="202"/>
    </row>
    <row r="614" spans="3:18" ht="16.5">
      <c r="C614" s="202"/>
      <c r="D614" s="202"/>
      <c r="E614" s="199"/>
      <c r="F614" s="202"/>
      <c r="G614" s="202"/>
      <c r="H614" s="202"/>
      <c r="I614" s="202"/>
      <c r="O614" s="202"/>
      <c r="R614" s="202"/>
    </row>
    <row r="615" spans="3:18" ht="16.5">
      <c r="C615" s="202"/>
      <c r="D615" s="202"/>
      <c r="E615" s="199"/>
      <c r="F615" s="202"/>
      <c r="G615" s="202"/>
      <c r="H615" s="202"/>
      <c r="I615" s="202"/>
      <c r="O615" s="202"/>
      <c r="R615" s="202"/>
    </row>
    <row r="616" spans="3:18" ht="16.5">
      <c r="C616" s="202"/>
      <c r="D616" s="202"/>
      <c r="E616" s="199"/>
      <c r="F616" s="202"/>
      <c r="G616" s="202"/>
      <c r="H616" s="202"/>
      <c r="I616" s="202"/>
      <c r="O616" s="202"/>
      <c r="R616" s="202"/>
    </row>
    <row r="617" spans="3:18" ht="16.5">
      <c r="C617" s="202"/>
      <c r="D617" s="202"/>
      <c r="E617" s="199"/>
      <c r="F617" s="202"/>
      <c r="G617" s="202"/>
      <c r="H617" s="202"/>
      <c r="I617" s="202"/>
      <c r="O617" s="202"/>
      <c r="R617" s="202"/>
    </row>
    <row r="618" spans="3:18" ht="16.5">
      <c r="C618" s="202"/>
      <c r="D618" s="202"/>
      <c r="E618" s="199"/>
      <c r="F618" s="202"/>
      <c r="G618" s="202"/>
      <c r="H618" s="202"/>
      <c r="I618" s="202"/>
      <c r="O618" s="202"/>
      <c r="R618" s="202"/>
    </row>
    <row r="619" spans="3:18" ht="16.5">
      <c r="C619" s="202"/>
      <c r="D619" s="202"/>
      <c r="E619" s="199"/>
      <c r="F619" s="202"/>
      <c r="G619" s="202"/>
      <c r="H619" s="202"/>
      <c r="I619" s="202"/>
      <c r="O619" s="202"/>
      <c r="R619" s="202"/>
    </row>
    <row r="620" spans="3:18" ht="16.5">
      <c r="C620" s="202"/>
      <c r="D620" s="202"/>
      <c r="E620" s="199"/>
      <c r="F620" s="202"/>
      <c r="G620" s="202"/>
      <c r="H620" s="202"/>
      <c r="I620" s="202"/>
      <c r="O620" s="202"/>
      <c r="R620" s="202"/>
    </row>
    <row r="621" spans="3:18" ht="16.5">
      <c r="C621" s="202"/>
      <c r="D621" s="202"/>
      <c r="E621" s="199"/>
      <c r="F621" s="202"/>
      <c r="G621" s="202"/>
      <c r="H621" s="202"/>
      <c r="I621" s="202"/>
      <c r="O621" s="202"/>
      <c r="R621" s="202"/>
    </row>
    <row r="622" spans="3:18" ht="16.5">
      <c r="C622" s="202"/>
      <c r="D622" s="202"/>
      <c r="E622" s="199"/>
      <c r="F622" s="202"/>
      <c r="G622" s="202"/>
      <c r="H622" s="202"/>
      <c r="I622" s="202"/>
      <c r="O622" s="202"/>
      <c r="R622" s="202"/>
    </row>
    <row r="623" spans="3:18" ht="16.5">
      <c r="C623" s="202"/>
      <c r="D623" s="202"/>
      <c r="E623" s="199"/>
      <c r="F623" s="202"/>
      <c r="G623" s="202"/>
      <c r="H623" s="202"/>
      <c r="I623" s="202"/>
      <c r="O623" s="202"/>
      <c r="R623" s="202"/>
    </row>
    <row r="624" spans="3:18" ht="16.5">
      <c r="C624" s="202"/>
      <c r="D624" s="202"/>
      <c r="E624" s="199"/>
      <c r="F624" s="202"/>
      <c r="G624" s="202"/>
      <c r="H624" s="202"/>
      <c r="I624" s="202"/>
      <c r="O624" s="202"/>
      <c r="R624" s="202"/>
    </row>
    <row r="625" spans="3:18" ht="16.5">
      <c r="C625" s="202"/>
      <c r="D625" s="202"/>
      <c r="E625" s="199"/>
      <c r="F625" s="202"/>
      <c r="G625" s="202"/>
      <c r="H625" s="202"/>
      <c r="I625" s="202"/>
      <c r="O625" s="202"/>
      <c r="R625" s="202"/>
    </row>
    <row r="626" spans="3:18" ht="16.5">
      <c r="C626" s="202"/>
      <c r="D626" s="202"/>
      <c r="E626" s="199"/>
      <c r="F626" s="202"/>
      <c r="G626" s="202"/>
      <c r="H626" s="202"/>
      <c r="I626" s="202"/>
      <c r="O626" s="202"/>
      <c r="R626" s="202"/>
    </row>
    <row r="627" spans="3:18" ht="16.5">
      <c r="C627" s="202"/>
      <c r="D627" s="202"/>
      <c r="E627" s="199"/>
      <c r="F627" s="202"/>
      <c r="G627" s="202"/>
      <c r="H627" s="202"/>
      <c r="I627" s="202"/>
      <c r="O627" s="202"/>
      <c r="R627" s="202"/>
    </row>
    <row r="628" spans="3:18" ht="16.5">
      <c r="C628" s="202"/>
      <c r="D628" s="202"/>
      <c r="E628" s="199"/>
      <c r="F628" s="202"/>
      <c r="G628" s="202"/>
      <c r="H628" s="202"/>
      <c r="I628" s="202"/>
      <c r="O628" s="202"/>
      <c r="R628" s="202"/>
    </row>
    <row r="629" spans="3:18" ht="16.5">
      <c r="C629" s="202"/>
      <c r="D629" s="202"/>
      <c r="E629" s="199"/>
      <c r="F629" s="202"/>
      <c r="G629" s="202"/>
      <c r="H629" s="202"/>
      <c r="I629" s="202"/>
      <c r="O629" s="202"/>
      <c r="R629" s="202"/>
    </row>
    <row r="630" spans="3:18" ht="16.5">
      <c r="C630" s="202"/>
      <c r="D630" s="202"/>
      <c r="E630" s="199"/>
      <c r="F630" s="202"/>
      <c r="G630" s="202"/>
      <c r="H630" s="202"/>
      <c r="I630" s="202"/>
      <c r="O630" s="202"/>
      <c r="R630" s="202"/>
    </row>
    <row r="631" spans="3:18" ht="16.5">
      <c r="C631" s="202"/>
      <c r="D631" s="202"/>
      <c r="E631" s="199"/>
      <c r="F631" s="202"/>
      <c r="G631" s="202"/>
      <c r="H631" s="202"/>
      <c r="I631" s="202"/>
      <c r="O631" s="202"/>
      <c r="R631" s="202"/>
    </row>
    <row r="632" spans="3:18" ht="16.5">
      <c r="C632" s="202"/>
      <c r="D632" s="202"/>
      <c r="E632" s="199"/>
      <c r="F632" s="202"/>
      <c r="G632" s="202"/>
      <c r="H632" s="202"/>
      <c r="I632" s="202"/>
      <c r="O632" s="202"/>
      <c r="R632" s="202"/>
    </row>
    <row r="633" spans="3:18" ht="16.5">
      <c r="C633" s="202"/>
      <c r="D633" s="202"/>
      <c r="E633" s="199"/>
      <c r="F633" s="202"/>
      <c r="G633" s="202"/>
      <c r="H633" s="202"/>
      <c r="I633" s="202"/>
      <c r="O633" s="202"/>
      <c r="R633" s="202"/>
    </row>
    <row r="634" spans="3:18" ht="16.5">
      <c r="C634" s="202"/>
      <c r="D634" s="202"/>
      <c r="E634" s="199"/>
      <c r="F634" s="202"/>
      <c r="G634" s="202"/>
      <c r="H634" s="202"/>
      <c r="I634" s="202"/>
      <c r="O634" s="202"/>
      <c r="R634" s="202"/>
    </row>
    <row r="635" spans="3:18" ht="16.5">
      <c r="C635" s="202"/>
      <c r="D635" s="202"/>
      <c r="E635" s="199"/>
      <c r="F635" s="202"/>
      <c r="G635" s="202"/>
      <c r="H635" s="202"/>
      <c r="I635" s="202"/>
      <c r="O635" s="202"/>
      <c r="R635" s="202"/>
    </row>
    <row r="636" spans="3:18" ht="16.5">
      <c r="C636" s="202"/>
      <c r="D636" s="202"/>
      <c r="E636" s="199"/>
      <c r="F636" s="202"/>
      <c r="G636" s="202"/>
      <c r="H636" s="202"/>
      <c r="I636" s="202"/>
      <c r="O636" s="202"/>
      <c r="R636" s="202"/>
    </row>
    <row r="637" spans="3:18" ht="16.5">
      <c r="C637" s="202"/>
      <c r="D637" s="202"/>
      <c r="E637" s="199"/>
      <c r="F637" s="202"/>
      <c r="G637" s="202"/>
      <c r="H637" s="202"/>
      <c r="I637" s="202"/>
      <c r="O637" s="202"/>
      <c r="R637" s="202"/>
    </row>
    <row r="638" spans="3:18" ht="16.5">
      <c r="C638" s="202"/>
      <c r="D638" s="202"/>
      <c r="E638" s="199"/>
      <c r="F638" s="202"/>
      <c r="G638" s="202"/>
      <c r="H638" s="202"/>
      <c r="I638" s="202"/>
      <c r="O638" s="202"/>
      <c r="R638" s="202"/>
    </row>
    <row r="639" spans="3:18" ht="16.5">
      <c r="C639" s="202"/>
      <c r="D639" s="202"/>
      <c r="E639" s="199"/>
      <c r="F639" s="202"/>
      <c r="G639" s="202"/>
      <c r="H639" s="202"/>
      <c r="I639" s="202"/>
      <c r="O639" s="202"/>
      <c r="R639" s="202"/>
    </row>
    <row r="640" spans="3:18" ht="16.5">
      <c r="C640" s="202"/>
      <c r="D640" s="202"/>
      <c r="E640" s="199"/>
      <c r="F640" s="202"/>
      <c r="G640" s="202"/>
      <c r="H640" s="202"/>
      <c r="I640" s="202"/>
      <c r="O640" s="202"/>
      <c r="R640" s="202"/>
    </row>
    <row r="641" spans="3:18" ht="16.5">
      <c r="C641" s="202"/>
      <c r="D641" s="202"/>
      <c r="E641" s="199"/>
      <c r="F641" s="202"/>
      <c r="G641" s="202"/>
      <c r="H641" s="202"/>
      <c r="I641" s="202"/>
      <c r="O641" s="202"/>
      <c r="R641" s="202"/>
    </row>
    <row r="642" spans="3:18" ht="16.5">
      <c r="C642" s="202"/>
      <c r="D642" s="202"/>
      <c r="E642" s="199"/>
      <c r="F642" s="202"/>
      <c r="G642" s="202"/>
      <c r="H642" s="202"/>
      <c r="I642" s="202"/>
      <c r="O642" s="202"/>
      <c r="R642" s="202"/>
    </row>
    <row r="643" spans="3:18" ht="16.5">
      <c r="C643" s="202"/>
      <c r="D643" s="202"/>
      <c r="E643" s="199"/>
      <c r="F643" s="202"/>
      <c r="G643" s="202"/>
      <c r="H643" s="202"/>
      <c r="I643" s="202"/>
      <c r="O643" s="202"/>
      <c r="R643" s="202"/>
    </row>
    <row r="644" spans="3:18" ht="16.5">
      <c r="C644" s="202"/>
      <c r="D644" s="202"/>
      <c r="E644" s="199"/>
      <c r="F644" s="202"/>
      <c r="G644" s="202"/>
      <c r="H644" s="202"/>
      <c r="I644" s="202"/>
      <c r="O644" s="202"/>
      <c r="R644" s="202"/>
    </row>
    <row r="645" spans="3:18" ht="16.5">
      <c r="C645" s="202"/>
      <c r="D645" s="202"/>
      <c r="E645" s="199"/>
      <c r="F645" s="202"/>
      <c r="G645" s="202"/>
      <c r="H645" s="202"/>
      <c r="I645" s="202"/>
      <c r="O645" s="202"/>
      <c r="R645" s="202"/>
    </row>
    <row r="646" spans="3:18" ht="16.5">
      <c r="C646" s="202"/>
      <c r="D646" s="202"/>
      <c r="E646" s="199"/>
      <c r="F646" s="202"/>
      <c r="G646" s="202"/>
      <c r="H646" s="202"/>
      <c r="I646" s="202"/>
      <c r="O646" s="202"/>
      <c r="R646" s="202"/>
    </row>
    <row r="647" spans="3:18" ht="16.5">
      <c r="C647" s="202"/>
      <c r="D647" s="202"/>
      <c r="E647" s="199"/>
      <c r="F647" s="202"/>
      <c r="G647" s="202"/>
      <c r="H647" s="202"/>
      <c r="I647" s="202"/>
      <c r="O647" s="202"/>
      <c r="R647" s="202"/>
    </row>
    <row r="648" spans="3:18" ht="16.5">
      <c r="C648" s="202"/>
      <c r="D648" s="202"/>
      <c r="E648" s="199"/>
      <c r="F648" s="202"/>
      <c r="G648" s="202"/>
      <c r="H648" s="202"/>
      <c r="I648" s="202"/>
      <c r="O648" s="202"/>
      <c r="R648" s="202"/>
    </row>
    <row r="649" spans="3:18" ht="16.5">
      <c r="C649" s="202"/>
      <c r="D649" s="202"/>
      <c r="E649" s="199"/>
      <c r="F649" s="202"/>
      <c r="G649" s="202"/>
      <c r="H649" s="202"/>
      <c r="I649" s="202"/>
      <c r="O649" s="202"/>
      <c r="R649" s="202"/>
    </row>
    <row r="650" spans="3:18" ht="16.5">
      <c r="C650" s="202"/>
      <c r="D650" s="202"/>
      <c r="E650" s="199"/>
      <c r="F650" s="202"/>
      <c r="G650" s="202"/>
      <c r="H650" s="202"/>
      <c r="I650" s="202"/>
      <c r="O650" s="202"/>
      <c r="R650" s="202"/>
    </row>
    <row r="651" spans="3:18" ht="16.5">
      <c r="C651" s="202"/>
      <c r="D651" s="202"/>
      <c r="E651" s="199"/>
      <c r="F651" s="202"/>
      <c r="G651" s="202"/>
      <c r="H651" s="202"/>
      <c r="I651" s="202"/>
      <c r="O651" s="202"/>
      <c r="R651" s="202"/>
    </row>
    <row r="652" spans="3:18" ht="16.5">
      <c r="C652" s="202"/>
      <c r="D652" s="202"/>
      <c r="E652" s="199"/>
      <c r="F652" s="202"/>
      <c r="G652" s="202"/>
      <c r="H652" s="202"/>
      <c r="I652" s="202"/>
      <c r="O652" s="202"/>
      <c r="R652" s="202"/>
    </row>
    <row r="653" spans="3:18" ht="16.5">
      <c r="C653" s="202"/>
      <c r="D653" s="202"/>
      <c r="E653" s="199"/>
      <c r="F653" s="202"/>
      <c r="G653" s="202"/>
      <c r="H653" s="202"/>
      <c r="I653" s="202"/>
      <c r="O653" s="202"/>
      <c r="R653" s="202"/>
    </row>
    <row r="654" spans="3:18" ht="16.5">
      <c r="C654" s="202"/>
      <c r="D654" s="202"/>
      <c r="E654" s="199"/>
      <c r="F654" s="202"/>
      <c r="G654" s="202"/>
      <c r="H654" s="202"/>
      <c r="I654" s="202"/>
      <c r="O654" s="202"/>
      <c r="R654" s="202"/>
    </row>
    <row r="655" spans="3:18" ht="16.5">
      <c r="C655" s="202"/>
      <c r="D655" s="202"/>
      <c r="E655" s="199"/>
      <c r="F655" s="202"/>
      <c r="G655" s="202"/>
      <c r="H655" s="202"/>
      <c r="I655" s="202"/>
      <c r="O655" s="202"/>
      <c r="R655" s="202"/>
    </row>
    <row r="656" spans="3:18" ht="16.5">
      <c r="C656" s="202"/>
      <c r="D656" s="202"/>
      <c r="E656" s="199"/>
      <c r="F656" s="202"/>
      <c r="G656" s="202"/>
      <c r="H656" s="202"/>
      <c r="I656" s="202"/>
      <c r="O656" s="202"/>
      <c r="R656" s="202"/>
    </row>
    <row r="657" spans="3:18" ht="16.5">
      <c r="C657" s="202"/>
      <c r="D657" s="202"/>
      <c r="E657" s="199"/>
      <c r="F657" s="202"/>
      <c r="G657" s="202"/>
      <c r="H657" s="202"/>
      <c r="I657" s="202"/>
      <c r="O657" s="202"/>
      <c r="R657" s="202"/>
    </row>
    <row r="658" spans="3:18" ht="16.5">
      <c r="C658" s="202"/>
      <c r="D658" s="202"/>
      <c r="E658" s="199"/>
      <c r="F658" s="202"/>
      <c r="G658" s="202"/>
      <c r="H658" s="202"/>
      <c r="I658" s="202"/>
      <c r="O658" s="202"/>
      <c r="R658" s="202"/>
    </row>
    <row r="659" spans="3:18" ht="16.5">
      <c r="C659" s="202"/>
      <c r="D659" s="202"/>
      <c r="E659" s="199"/>
      <c r="F659" s="202"/>
      <c r="G659" s="202"/>
      <c r="H659" s="202"/>
      <c r="I659" s="202"/>
      <c r="O659" s="202"/>
      <c r="R659" s="202"/>
    </row>
    <row r="660" spans="3:18" ht="16.5">
      <c r="C660" s="202"/>
      <c r="D660" s="202"/>
      <c r="E660" s="199"/>
      <c r="F660" s="202"/>
      <c r="G660" s="202"/>
      <c r="H660" s="202"/>
      <c r="I660" s="202"/>
      <c r="O660" s="202"/>
      <c r="R660" s="202"/>
    </row>
    <row r="661" spans="3:18" ht="16.5">
      <c r="C661" s="202"/>
      <c r="D661" s="202"/>
      <c r="E661" s="199"/>
      <c r="F661" s="202"/>
      <c r="G661" s="202"/>
      <c r="H661" s="202"/>
      <c r="I661" s="202"/>
      <c r="O661" s="202"/>
      <c r="R661" s="202"/>
    </row>
    <row r="662" spans="3:18" ht="16.5">
      <c r="C662" s="202"/>
      <c r="D662" s="202"/>
      <c r="E662" s="199"/>
      <c r="F662" s="202"/>
      <c r="G662" s="202"/>
      <c r="H662" s="202"/>
      <c r="I662" s="202"/>
      <c r="O662" s="202"/>
      <c r="R662" s="202"/>
    </row>
    <row r="663" spans="3:18" ht="16.5">
      <c r="C663" s="202"/>
      <c r="D663" s="202"/>
      <c r="E663" s="199"/>
      <c r="F663" s="202"/>
      <c r="G663" s="202"/>
      <c r="H663" s="202"/>
      <c r="I663" s="202"/>
      <c r="O663" s="202"/>
      <c r="R663" s="202"/>
    </row>
    <row r="664" spans="3:18" ht="16.5">
      <c r="C664" s="202"/>
      <c r="D664" s="202"/>
      <c r="E664" s="199"/>
      <c r="F664" s="202"/>
      <c r="G664" s="202"/>
      <c r="H664" s="202"/>
      <c r="I664" s="202"/>
      <c r="O664" s="202"/>
      <c r="R664" s="202"/>
    </row>
    <row r="665" spans="3:18" ht="16.5">
      <c r="C665" s="202"/>
      <c r="D665" s="202"/>
      <c r="E665" s="199"/>
      <c r="F665" s="202"/>
      <c r="G665" s="202"/>
      <c r="H665" s="202"/>
      <c r="I665" s="202"/>
      <c r="O665" s="202"/>
      <c r="R665" s="202"/>
    </row>
    <row r="666" spans="3:18" ht="16.5">
      <c r="C666" s="202"/>
      <c r="D666" s="202"/>
      <c r="E666" s="199"/>
      <c r="F666" s="202"/>
      <c r="G666" s="202"/>
      <c r="H666" s="202"/>
      <c r="I666" s="202"/>
      <c r="O666" s="202"/>
      <c r="R666" s="202"/>
    </row>
    <row r="667" spans="3:18" ht="16.5">
      <c r="C667" s="202"/>
      <c r="D667" s="202"/>
      <c r="E667" s="199"/>
      <c r="F667" s="202"/>
      <c r="G667" s="202"/>
      <c r="H667" s="202"/>
      <c r="I667" s="202"/>
      <c r="O667" s="202"/>
      <c r="R667" s="202"/>
    </row>
    <row r="668" spans="3:18" ht="16.5">
      <c r="C668" s="202"/>
      <c r="D668" s="202"/>
      <c r="E668" s="199"/>
      <c r="F668" s="202"/>
      <c r="G668" s="202"/>
      <c r="H668" s="202"/>
      <c r="I668" s="202"/>
      <c r="O668" s="202"/>
      <c r="R668" s="202"/>
    </row>
    <row r="669" spans="3:18" ht="16.5">
      <c r="C669" s="202"/>
      <c r="D669" s="202"/>
      <c r="E669" s="199"/>
      <c r="F669" s="202"/>
      <c r="G669" s="202"/>
      <c r="H669" s="202"/>
      <c r="I669" s="202"/>
      <c r="O669" s="202"/>
      <c r="R669" s="202"/>
    </row>
    <row r="670" spans="3:18" ht="16.5">
      <c r="C670" s="202"/>
      <c r="D670" s="202"/>
      <c r="E670" s="199"/>
      <c r="F670" s="202"/>
      <c r="G670" s="202"/>
      <c r="H670" s="202"/>
      <c r="I670" s="202"/>
      <c r="O670" s="202"/>
      <c r="R670" s="202"/>
    </row>
    <row r="671" spans="3:18" ht="16.5">
      <c r="C671" s="202"/>
      <c r="D671" s="202"/>
      <c r="E671" s="199"/>
      <c r="F671" s="202"/>
      <c r="G671" s="202"/>
      <c r="H671" s="202"/>
      <c r="I671" s="202"/>
      <c r="O671" s="202"/>
      <c r="R671" s="202"/>
    </row>
    <row r="672" spans="3:18" ht="16.5">
      <c r="C672" s="202"/>
      <c r="D672" s="202"/>
      <c r="E672" s="199"/>
      <c r="F672" s="202"/>
      <c r="G672" s="202"/>
      <c r="H672" s="202"/>
      <c r="I672" s="202"/>
      <c r="O672" s="202"/>
      <c r="R672" s="202"/>
    </row>
    <row r="673" spans="3:18" ht="16.5">
      <c r="C673" s="202"/>
      <c r="D673" s="202"/>
      <c r="E673" s="199"/>
      <c r="F673" s="202"/>
      <c r="G673" s="202"/>
      <c r="H673" s="202"/>
      <c r="I673" s="202"/>
      <c r="O673" s="202"/>
      <c r="R673" s="202"/>
    </row>
    <row r="674" spans="3:18" ht="16.5">
      <c r="C674" s="202"/>
      <c r="D674" s="202"/>
      <c r="E674" s="199"/>
      <c r="F674" s="202"/>
      <c r="G674" s="202"/>
      <c r="H674" s="202"/>
      <c r="I674" s="202"/>
      <c r="O674" s="202"/>
      <c r="R674" s="202"/>
    </row>
    <row r="675" spans="3:18" ht="16.5">
      <c r="C675" s="202"/>
      <c r="D675" s="202"/>
      <c r="E675" s="199"/>
      <c r="F675" s="202"/>
      <c r="G675" s="202"/>
      <c r="H675" s="202"/>
      <c r="I675" s="202"/>
      <c r="O675" s="202"/>
      <c r="R675" s="202"/>
    </row>
    <row r="676" spans="3:18" ht="16.5">
      <c r="C676" s="202"/>
      <c r="D676" s="202"/>
      <c r="E676" s="199"/>
      <c r="F676" s="202"/>
      <c r="G676" s="202"/>
      <c r="H676" s="202"/>
      <c r="I676" s="202"/>
      <c r="O676" s="202"/>
      <c r="R676" s="202"/>
    </row>
    <row r="677" spans="3:18" ht="16.5">
      <c r="C677" s="202"/>
      <c r="D677" s="202"/>
      <c r="E677" s="199"/>
      <c r="F677" s="202"/>
      <c r="G677" s="202"/>
      <c r="H677" s="202"/>
      <c r="I677" s="202"/>
      <c r="O677" s="202"/>
      <c r="R677" s="202"/>
    </row>
    <row r="678" spans="3:18" ht="16.5">
      <c r="C678" s="202"/>
      <c r="D678" s="202"/>
      <c r="E678" s="199"/>
      <c r="F678" s="202"/>
      <c r="G678" s="202"/>
      <c r="H678" s="202"/>
      <c r="I678" s="202"/>
      <c r="O678" s="202"/>
      <c r="R678" s="202"/>
    </row>
    <row r="679" spans="3:18" ht="16.5">
      <c r="C679" s="202"/>
      <c r="D679" s="202"/>
      <c r="E679" s="199"/>
      <c r="F679" s="202"/>
      <c r="G679" s="202"/>
      <c r="H679" s="202"/>
      <c r="I679" s="202"/>
      <c r="O679" s="202"/>
      <c r="R679" s="202"/>
    </row>
    <row r="680" spans="3:18" ht="16.5">
      <c r="C680" s="202"/>
      <c r="D680" s="202"/>
      <c r="E680" s="199"/>
      <c r="F680" s="202"/>
      <c r="G680" s="202"/>
      <c r="H680" s="202"/>
      <c r="I680" s="202"/>
      <c r="O680" s="202"/>
      <c r="R680" s="202"/>
    </row>
    <row r="681" spans="3:18" ht="16.5">
      <c r="C681" s="202"/>
      <c r="D681" s="202"/>
      <c r="E681" s="199"/>
      <c r="F681" s="202"/>
      <c r="G681" s="202"/>
      <c r="H681" s="202"/>
      <c r="I681" s="202"/>
      <c r="O681" s="202"/>
      <c r="R681" s="202"/>
    </row>
    <row r="682" spans="3:18" ht="16.5">
      <c r="C682" s="202"/>
      <c r="D682" s="202"/>
      <c r="E682" s="199"/>
      <c r="F682" s="202"/>
      <c r="G682" s="202"/>
      <c r="H682" s="202"/>
      <c r="I682" s="202"/>
      <c r="O682" s="202"/>
      <c r="R682" s="202"/>
    </row>
    <row r="683" spans="3:18" ht="16.5">
      <c r="C683" s="202"/>
      <c r="D683" s="202"/>
      <c r="E683" s="199"/>
      <c r="F683" s="202"/>
      <c r="G683" s="202"/>
      <c r="H683" s="202"/>
      <c r="I683" s="202"/>
      <c r="O683" s="202"/>
      <c r="R683" s="202"/>
    </row>
    <row r="684" spans="3:18" ht="16.5">
      <c r="C684" s="202"/>
      <c r="D684" s="202"/>
      <c r="E684" s="199"/>
      <c r="F684" s="202"/>
      <c r="G684" s="202"/>
      <c r="H684" s="202"/>
      <c r="I684" s="202"/>
      <c r="O684" s="202"/>
      <c r="R684" s="202"/>
    </row>
    <row r="685" spans="3:18" ht="16.5">
      <c r="C685" s="202"/>
      <c r="D685" s="202"/>
      <c r="E685" s="199"/>
      <c r="F685" s="202"/>
      <c r="G685" s="202"/>
      <c r="H685" s="202"/>
      <c r="I685" s="202"/>
      <c r="O685" s="202"/>
      <c r="R685" s="202"/>
    </row>
    <row r="686" spans="3:18" ht="16.5">
      <c r="C686" s="202"/>
      <c r="D686" s="202"/>
      <c r="E686" s="199"/>
      <c r="F686" s="202"/>
      <c r="G686" s="202"/>
      <c r="H686" s="202"/>
      <c r="I686" s="202"/>
      <c r="O686" s="202"/>
      <c r="R686" s="202"/>
    </row>
    <row r="687" spans="3:18" ht="16.5">
      <c r="C687" s="202"/>
      <c r="D687" s="202"/>
      <c r="E687" s="199"/>
      <c r="F687" s="202"/>
      <c r="G687" s="202"/>
      <c r="H687" s="202"/>
      <c r="I687" s="202"/>
      <c r="O687" s="202"/>
      <c r="R687" s="202"/>
    </row>
    <row r="688" spans="3:18" ht="16.5">
      <c r="C688" s="202"/>
      <c r="D688" s="202"/>
      <c r="E688" s="199"/>
      <c r="F688" s="202"/>
      <c r="G688" s="202"/>
      <c r="H688" s="202"/>
      <c r="I688" s="202"/>
      <c r="O688" s="202"/>
      <c r="R688" s="202"/>
    </row>
    <row r="689" spans="3:18" ht="16.5">
      <c r="C689" s="202"/>
      <c r="D689" s="202"/>
      <c r="E689" s="199"/>
      <c r="F689" s="202"/>
      <c r="G689" s="202"/>
      <c r="H689" s="202"/>
      <c r="I689" s="202"/>
      <c r="O689" s="202"/>
      <c r="R689" s="202"/>
    </row>
    <row r="690" spans="3:18" ht="16.5">
      <c r="C690" s="202"/>
      <c r="D690" s="202"/>
      <c r="E690" s="199"/>
      <c r="F690" s="202"/>
      <c r="G690" s="202"/>
      <c r="H690" s="202"/>
      <c r="I690" s="202"/>
      <c r="O690" s="202"/>
      <c r="R690" s="202"/>
    </row>
    <row r="691" spans="3:18" ht="16.5">
      <c r="C691" s="202"/>
      <c r="D691" s="202"/>
      <c r="E691" s="199"/>
      <c r="F691" s="202"/>
      <c r="G691" s="202"/>
      <c r="H691" s="202"/>
      <c r="I691" s="202"/>
      <c r="O691" s="202"/>
      <c r="R691" s="202"/>
    </row>
    <row r="692" spans="3:18" ht="16.5">
      <c r="C692" s="202"/>
      <c r="D692" s="202"/>
      <c r="E692" s="199"/>
      <c r="F692" s="202"/>
      <c r="G692" s="202"/>
      <c r="H692" s="202"/>
      <c r="I692" s="202"/>
      <c r="O692" s="202"/>
      <c r="R692" s="202"/>
    </row>
    <row r="693" spans="3:18" ht="16.5">
      <c r="C693" s="202"/>
      <c r="D693" s="202"/>
      <c r="E693" s="199"/>
      <c r="F693" s="202"/>
      <c r="G693" s="202"/>
      <c r="H693" s="202"/>
      <c r="I693" s="202"/>
      <c r="O693" s="202"/>
      <c r="R693" s="202"/>
    </row>
    <row r="694" spans="3:18" ht="16.5">
      <c r="C694" s="202"/>
      <c r="D694" s="202"/>
      <c r="E694" s="199"/>
      <c r="F694" s="202"/>
      <c r="G694" s="202"/>
      <c r="H694" s="202"/>
      <c r="I694" s="202"/>
      <c r="O694" s="202"/>
      <c r="R694" s="202"/>
    </row>
    <row r="695" spans="3:18" ht="16.5">
      <c r="C695" s="202"/>
      <c r="D695" s="202"/>
      <c r="E695" s="199"/>
      <c r="F695" s="202"/>
      <c r="G695" s="202"/>
      <c r="H695" s="202"/>
      <c r="I695" s="202"/>
      <c r="O695" s="202"/>
      <c r="R695" s="202"/>
    </row>
    <row r="696" spans="3:18" ht="16.5">
      <c r="C696" s="202"/>
      <c r="D696" s="202"/>
      <c r="E696" s="199"/>
      <c r="F696" s="202"/>
      <c r="G696" s="202"/>
      <c r="H696" s="202"/>
      <c r="I696" s="202"/>
      <c r="O696" s="202"/>
      <c r="R696" s="202"/>
    </row>
    <row r="697" spans="3:18" ht="16.5">
      <c r="C697" s="202"/>
      <c r="D697" s="202"/>
      <c r="E697" s="199"/>
      <c r="F697" s="202"/>
      <c r="G697" s="202"/>
      <c r="H697" s="202"/>
      <c r="I697" s="202"/>
      <c r="O697" s="202"/>
      <c r="R697" s="202"/>
    </row>
    <row r="698" spans="3:18" ht="16.5">
      <c r="C698" s="202"/>
      <c r="D698" s="202"/>
      <c r="E698" s="199"/>
      <c r="F698" s="202"/>
      <c r="G698" s="202"/>
      <c r="H698" s="202"/>
      <c r="I698" s="202"/>
      <c r="O698" s="202"/>
      <c r="R698" s="202"/>
    </row>
    <row r="699" spans="3:18" ht="16.5">
      <c r="C699" s="202"/>
      <c r="D699" s="202"/>
      <c r="E699" s="199"/>
      <c r="F699" s="202"/>
      <c r="G699" s="202"/>
      <c r="H699" s="202"/>
      <c r="I699" s="202"/>
      <c r="O699" s="202"/>
      <c r="R699" s="202"/>
    </row>
    <row r="700" spans="3:18" ht="16.5">
      <c r="C700" s="202"/>
      <c r="D700" s="202"/>
      <c r="E700" s="199"/>
      <c r="F700" s="202"/>
      <c r="G700" s="202"/>
      <c r="H700" s="202"/>
      <c r="I700" s="202"/>
      <c r="O700" s="202"/>
      <c r="R700" s="202"/>
    </row>
    <row r="701" spans="3:18" ht="16.5">
      <c r="C701" s="202"/>
      <c r="D701" s="202"/>
      <c r="E701" s="199"/>
      <c r="F701" s="202"/>
      <c r="G701" s="202"/>
      <c r="H701" s="202"/>
      <c r="I701" s="202"/>
      <c r="O701" s="202"/>
      <c r="R701" s="202"/>
    </row>
    <row r="702" spans="3:18" ht="16.5">
      <c r="C702" s="202"/>
      <c r="D702" s="202"/>
      <c r="E702" s="199"/>
      <c r="F702" s="202"/>
      <c r="G702" s="202"/>
      <c r="H702" s="202"/>
      <c r="I702" s="202"/>
      <c r="O702" s="202"/>
      <c r="R702" s="202"/>
    </row>
    <row r="703" spans="3:18" ht="16.5">
      <c r="C703" s="202"/>
      <c r="D703" s="202"/>
      <c r="E703" s="199"/>
      <c r="F703" s="202"/>
      <c r="G703" s="202"/>
      <c r="H703" s="202"/>
      <c r="I703" s="202"/>
      <c r="O703" s="202"/>
      <c r="R703" s="202"/>
    </row>
    <row r="704" spans="3:18" ht="16.5">
      <c r="C704" s="202"/>
      <c r="D704" s="202"/>
      <c r="E704" s="199"/>
      <c r="F704" s="202"/>
      <c r="G704" s="202"/>
      <c r="H704" s="202"/>
      <c r="I704" s="202"/>
      <c r="O704" s="202"/>
      <c r="R704" s="202"/>
    </row>
    <row r="705" spans="3:18" ht="16.5">
      <c r="C705" s="202"/>
      <c r="D705" s="202"/>
      <c r="E705" s="199"/>
      <c r="F705" s="202"/>
      <c r="G705" s="202"/>
      <c r="H705" s="202"/>
      <c r="I705" s="202"/>
      <c r="O705" s="202"/>
      <c r="R705" s="202"/>
    </row>
    <row r="706" spans="3:18" ht="16.5">
      <c r="C706" s="202"/>
      <c r="D706" s="202"/>
      <c r="E706" s="199"/>
      <c r="F706" s="202"/>
      <c r="G706" s="202"/>
      <c r="H706" s="202"/>
      <c r="I706" s="202"/>
      <c r="O706" s="202"/>
      <c r="R706" s="202"/>
    </row>
    <row r="707" spans="3:18" ht="16.5">
      <c r="C707" s="202"/>
      <c r="D707" s="202"/>
      <c r="E707" s="199"/>
      <c r="F707" s="202"/>
      <c r="G707" s="202"/>
      <c r="H707" s="202"/>
      <c r="I707" s="202"/>
      <c r="O707" s="202"/>
      <c r="R707" s="202"/>
    </row>
    <row r="708" spans="3:18" ht="16.5">
      <c r="C708" s="202"/>
      <c r="D708" s="202"/>
      <c r="E708" s="199"/>
      <c r="F708" s="202"/>
      <c r="G708" s="202"/>
      <c r="H708" s="202"/>
      <c r="I708" s="202"/>
      <c r="O708" s="202"/>
      <c r="R708" s="202"/>
    </row>
    <row r="709" spans="3:18" ht="16.5">
      <c r="C709" s="202"/>
      <c r="D709" s="202"/>
      <c r="E709" s="199"/>
      <c r="F709" s="202"/>
      <c r="G709" s="202"/>
      <c r="H709" s="202"/>
      <c r="I709" s="202"/>
      <c r="O709" s="202"/>
      <c r="R709" s="202"/>
    </row>
    <row r="710" spans="3:18" ht="16.5">
      <c r="C710" s="202"/>
      <c r="D710" s="202"/>
      <c r="E710" s="199"/>
      <c r="F710" s="202"/>
      <c r="G710" s="202"/>
      <c r="H710" s="202"/>
      <c r="I710" s="202"/>
      <c r="O710" s="202"/>
      <c r="R710" s="202"/>
    </row>
    <row r="711" spans="3:18" ht="16.5">
      <c r="C711" s="202"/>
      <c r="D711" s="202"/>
      <c r="E711" s="199"/>
      <c r="F711" s="202"/>
      <c r="G711" s="202"/>
      <c r="H711" s="202"/>
      <c r="I711" s="202"/>
      <c r="O711" s="202"/>
      <c r="R711" s="202"/>
    </row>
    <row r="712" spans="3:18" ht="16.5">
      <c r="C712" s="202"/>
      <c r="D712" s="202"/>
      <c r="E712" s="199"/>
      <c r="F712" s="202"/>
      <c r="G712" s="202"/>
      <c r="H712" s="202"/>
      <c r="I712" s="202"/>
      <c r="O712" s="202"/>
      <c r="R712" s="202"/>
    </row>
    <row r="713" spans="3:18" ht="16.5">
      <c r="C713" s="202"/>
      <c r="D713" s="202"/>
      <c r="E713" s="199"/>
      <c r="F713" s="202"/>
      <c r="G713" s="202"/>
      <c r="H713" s="202"/>
      <c r="I713" s="202"/>
      <c r="O713" s="202"/>
      <c r="R713" s="202"/>
    </row>
    <row r="714" spans="3:18" ht="16.5">
      <c r="C714" s="202"/>
      <c r="D714" s="202"/>
      <c r="E714" s="199"/>
      <c r="F714" s="202"/>
      <c r="G714" s="202"/>
      <c r="H714" s="202"/>
      <c r="I714" s="202"/>
      <c r="O714" s="202"/>
      <c r="R714" s="202"/>
    </row>
    <row r="715" spans="3:18" ht="16.5">
      <c r="C715" s="202"/>
      <c r="D715" s="202"/>
      <c r="E715" s="199"/>
      <c r="F715" s="202"/>
      <c r="G715" s="202"/>
      <c r="H715" s="202"/>
      <c r="I715" s="202"/>
      <c r="O715" s="202"/>
      <c r="R715" s="202"/>
    </row>
    <row r="716" spans="3:18" ht="16.5">
      <c r="C716" s="202"/>
      <c r="D716" s="202"/>
      <c r="E716" s="199"/>
      <c r="F716" s="202"/>
      <c r="G716" s="202"/>
      <c r="H716" s="202"/>
      <c r="I716" s="202"/>
      <c r="O716" s="202"/>
      <c r="R716" s="202"/>
    </row>
    <row r="717" spans="3:18" ht="16.5">
      <c r="C717" s="202"/>
      <c r="D717" s="202"/>
      <c r="E717" s="199"/>
      <c r="F717" s="202"/>
      <c r="G717" s="202"/>
      <c r="H717" s="202"/>
      <c r="I717" s="202"/>
      <c r="O717" s="202"/>
      <c r="R717" s="202"/>
    </row>
    <row r="718" spans="3:18" ht="16.5">
      <c r="C718" s="202"/>
      <c r="D718" s="202"/>
      <c r="E718" s="199"/>
      <c r="F718" s="202"/>
      <c r="G718" s="202"/>
      <c r="H718" s="202"/>
      <c r="I718" s="202"/>
      <c r="O718" s="202"/>
      <c r="R718" s="202"/>
    </row>
    <row r="719" spans="3:18" ht="16.5">
      <c r="C719" s="202"/>
      <c r="D719" s="202"/>
      <c r="E719" s="199"/>
      <c r="F719" s="202"/>
      <c r="G719" s="202"/>
      <c r="H719" s="202"/>
      <c r="I719" s="202"/>
      <c r="O719" s="202"/>
      <c r="R719" s="202"/>
    </row>
    <row r="720" spans="3:18" ht="16.5">
      <c r="C720" s="202"/>
      <c r="D720" s="202"/>
      <c r="E720" s="199"/>
      <c r="F720" s="202"/>
      <c r="G720" s="202"/>
      <c r="H720" s="202"/>
      <c r="I720" s="202"/>
      <c r="O720" s="202"/>
      <c r="R720" s="202"/>
    </row>
    <row r="721" spans="3:18" ht="16.5">
      <c r="C721" s="202"/>
      <c r="D721" s="202"/>
      <c r="E721" s="199"/>
      <c r="F721" s="202"/>
      <c r="G721" s="202"/>
      <c r="H721" s="202"/>
      <c r="I721" s="202"/>
      <c r="O721" s="202"/>
      <c r="R721" s="202"/>
    </row>
    <row r="722" spans="3:18" ht="16.5">
      <c r="C722" s="202"/>
      <c r="D722" s="202"/>
      <c r="E722" s="199"/>
      <c r="F722" s="202"/>
      <c r="G722" s="202"/>
      <c r="H722" s="202"/>
      <c r="I722" s="202"/>
      <c r="O722" s="202"/>
      <c r="R722" s="202"/>
    </row>
    <row r="723" spans="3:18" ht="16.5">
      <c r="C723" s="202"/>
      <c r="D723" s="202"/>
      <c r="E723" s="199"/>
      <c r="F723" s="202"/>
      <c r="G723" s="202"/>
      <c r="H723" s="202"/>
      <c r="I723" s="202"/>
      <c r="O723" s="202"/>
      <c r="R723" s="202"/>
    </row>
    <row r="724" spans="3:18" ht="16.5">
      <c r="C724" s="202"/>
      <c r="D724" s="202"/>
      <c r="E724" s="199"/>
      <c r="F724" s="202"/>
      <c r="G724" s="202"/>
      <c r="H724" s="202"/>
      <c r="I724" s="202"/>
      <c r="O724" s="202"/>
      <c r="R724" s="202"/>
    </row>
    <row r="725" spans="3:18" ht="16.5">
      <c r="C725" s="202"/>
      <c r="D725" s="202"/>
      <c r="E725" s="199"/>
      <c r="F725" s="202"/>
      <c r="G725" s="202"/>
      <c r="H725" s="202"/>
      <c r="I725" s="202"/>
      <c r="O725" s="202"/>
      <c r="R725" s="202"/>
    </row>
    <row r="726" spans="3:18" ht="16.5">
      <c r="C726" s="202"/>
      <c r="D726" s="202"/>
      <c r="E726" s="199"/>
      <c r="F726" s="202"/>
      <c r="G726" s="202"/>
      <c r="H726" s="202"/>
      <c r="I726" s="202"/>
      <c r="O726" s="202"/>
      <c r="R726" s="202"/>
    </row>
    <row r="727" spans="3:18" ht="16.5">
      <c r="C727" s="202"/>
      <c r="D727" s="202"/>
      <c r="E727" s="199"/>
      <c r="F727" s="202"/>
      <c r="G727" s="202"/>
      <c r="H727" s="202"/>
      <c r="I727" s="202"/>
      <c r="O727" s="202"/>
      <c r="R727" s="202"/>
    </row>
    <row r="728" spans="3:18" ht="16.5">
      <c r="C728" s="202"/>
      <c r="D728" s="202"/>
      <c r="E728" s="199"/>
      <c r="F728" s="202"/>
      <c r="G728" s="202"/>
      <c r="H728" s="202"/>
      <c r="I728" s="202"/>
      <c r="O728" s="202"/>
      <c r="R728" s="202"/>
    </row>
    <row r="729" spans="3:18" ht="16.5">
      <c r="C729" s="202"/>
      <c r="D729" s="202"/>
      <c r="E729" s="199"/>
      <c r="F729" s="202"/>
      <c r="G729" s="202"/>
      <c r="H729" s="202"/>
      <c r="I729" s="202"/>
      <c r="O729" s="202"/>
      <c r="R729" s="202"/>
    </row>
    <row r="730" spans="3:18" ht="16.5">
      <c r="C730" s="202"/>
      <c r="D730" s="202"/>
      <c r="E730" s="199"/>
      <c r="F730" s="202"/>
      <c r="G730" s="202"/>
      <c r="H730" s="202"/>
      <c r="I730" s="202"/>
      <c r="O730" s="202"/>
      <c r="R730" s="202"/>
    </row>
    <row r="731" spans="3:18" ht="16.5">
      <c r="C731" s="202"/>
      <c r="D731" s="202"/>
      <c r="E731" s="199"/>
      <c r="F731" s="202"/>
      <c r="G731" s="202"/>
      <c r="H731" s="202"/>
      <c r="I731" s="202"/>
      <c r="O731" s="202"/>
      <c r="R731" s="202"/>
    </row>
    <row r="732" spans="3:18" ht="16.5">
      <c r="C732" s="202"/>
      <c r="D732" s="202"/>
      <c r="E732" s="199"/>
      <c r="F732" s="202"/>
      <c r="G732" s="202"/>
      <c r="H732" s="202"/>
      <c r="I732" s="202"/>
      <c r="O732" s="202"/>
      <c r="R732" s="202"/>
    </row>
    <row r="733" spans="3:18" ht="16.5">
      <c r="C733" s="202"/>
      <c r="D733" s="202"/>
      <c r="E733" s="199"/>
      <c r="F733" s="202"/>
      <c r="G733" s="202"/>
      <c r="H733" s="202"/>
      <c r="I733" s="202"/>
      <c r="O733" s="202"/>
      <c r="R733" s="202"/>
    </row>
    <row r="734" spans="3:18" ht="16.5">
      <c r="C734" s="202"/>
      <c r="D734" s="202"/>
      <c r="E734" s="199"/>
      <c r="F734" s="202"/>
      <c r="G734" s="202"/>
      <c r="H734" s="202"/>
      <c r="I734" s="202"/>
      <c r="O734" s="202"/>
      <c r="R734" s="202"/>
    </row>
    <row r="735" spans="3:18" ht="16.5">
      <c r="C735" s="202"/>
      <c r="D735" s="202"/>
      <c r="E735" s="199"/>
      <c r="F735" s="202"/>
      <c r="G735" s="202"/>
      <c r="H735" s="202"/>
      <c r="I735" s="202"/>
      <c r="O735" s="202"/>
      <c r="R735" s="202"/>
    </row>
    <row r="736" spans="3:18" ht="16.5">
      <c r="C736" s="202"/>
      <c r="D736" s="202"/>
      <c r="E736" s="199"/>
      <c r="F736" s="202"/>
      <c r="G736" s="202"/>
      <c r="H736" s="202"/>
      <c r="I736" s="202"/>
      <c r="O736" s="202"/>
      <c r="R736" s="202"/>
    </row>
    <row r="737" spans="3:18" ht="16.5">
      <c r="C737" s="202"/>
      <c r="D737" s="202"/>
      <c r="E737" s="199"/>
      <c r="F737" s="202"/>
      <c r="G737" s="202"/>
      <c r="H737" s="202"/>
      <c r="I737" s="202"/>
      <c r="O737" s="202"/>
      <c r="R737" s="202"/>
    </row>
    <row r="738" spans="3:18" ht="16.5">
      <c r="C738" s="202"/>
      <c r="D738" s="202"/>
      <c r="E738" s="199"/>
      <c r="F738" s="202"/>
      <c r="G738" s="202"/>
      <c r="H738" s="202"/>
      <c r="I738" s="202"/>
      <c r="O738" s="202"/>
      <c r="R738" s="202"/>
    </row>
    <row r="739" spans="3:18" ht="16.5">
      <c r="C739" s="202"/>
      <c r="D739" s="202"/>
      <c r="E739" s="199"/>
      <c r="F739" s="202"/>
      <c r="G739" s="202"/>
      <c r="H739" s="202"/>
      <c r="I739" s="202"/>
      <c r="O739" s="202"/>
      <c r="R739" s="202"/>
    </row>
    <row r="740" spans="3:18" ht="16.5">
      <c r="C740" s="202"/>
      <c r="D740" s="202"/>
      <c r="E740" s="199"/>
      <c r="F740" s="202"/>
      <c r="G740" s="202"/>
      <c r="H740" s="202"/>
      <c r="I740" s="202"/>
      <c r="O740" s="202"/>
      <c r="R740" s="202"/>
    </row>
    <row r="741" spans="3:18" ht="16.5">
      <c r="C741" s="202"/>
      <c r="D741" s="202"/>
      <c r="E741" s="199"/>
      <c r="F741" s="202"/>
      <c r="G741" s="202"/>
      <c r="H741" s="202"/>
      <c r="I741" s="202"/>
      <c r="O741" s="202"/>
      <c r="R741" s="202"/>
    </row>
    <row r="742" spans="3:18" ht="16.5">
      <c r="C742" s="202"/>
      <c r="D742" s="202"/>
      <c r="E742" s="199"/>
      <c r="F742" s="202"/>
      <c r="G742" s="202"/>
      <c r="H742" s="202"/>
      <c r="I742" s="202"/>
      <c r="O742" s="202"/>
      <c r="R742" s="202"/>
    </row>
    <row r="743" spans="3:18" ht="16.5">
      <c r="C743" s="202"/>
      <c r="D743" s="202"/>
      <c r="E743" s="199"/>
      <c r="F743" s="202"/>
      <c r="G743" s="202"/>
      <c r="H743" s="202"/>
      <c r="I743" s="202"/>
      <c r="O743" s="202"/>
      <c r="R743" s="202"/>
    </row>
    <row r="744" spans="3:18" ht="16.5">
      <c r="C744" s="202"/>
      <c r="D744" s="202"/>
      <c r="E744" s="199"/>
      <c r="F744" s="202"/>
      <c r="G744" s="202"/>
      <c r="H744" s="202"/>
      <c r="I744" s="202"/>
      <c r="O744" s="202"/>
      <c r="R744" s="202"/>
    </row>
    <row r="745" spans="3:18" ht="16.5">
      <c r="C745" s="202"/>
      <c r="D745" s="202"/>
      <c r="E745" s="199"/>
      <c r="F745" s="202"/>
      <c r="G745" s="202"/>
      <c r="H745" s="202"/>
      <c r="I745" s="202"/>
      <c r="O745" s="202"/>
      <c r="R745" s="202"/>
    </row>
    <row r="746" spans="3:18" ht="16.5">
      <c r="C746" s="202"/>
      <c r="D746" s="202"/>
      <c r="E746" s="199"/>
      <c r="F746" s="202"/>
      <c r="G746" s="202"/>
      <c r="H746" s="202"/>
      <c r="I746" s="202"/>
      <c r="O746" s="202"/>
      <c r="R746" s="202"/>
    </row>
    <row r="747" spans="3:18" ht="16.5">
      <c r="C747" s="202"/>
      <c r="D747" s="202"/>
      <c r="E747" s="199"/>
      <c r="F747" s="202"/>
      <c r="G747" s="202"/>
      <c r="H747" s="202"/>
      <c r="I747" s="202"/>
      <c r="O747" s="202"/>
      <c r="R747" s="202"/>
    </row>
    <row r="748" spans="3:18" ht="16.5">
      <c r="C748" s="202"/>
      <c r="D748" s="202"/>
      <c r="E748" s="199"/>
      <c r="F748" s="202"/>
      <c r="G748" s="202"/>
      <c r="H748" s="202"/>
      <c r="I748" s="202"/>
      <c r="O748" s="202"/>
      <c r="R748" s="202"/>
    </row>
    <row r="749" spans="3:18" ht="16.5">
      <c r="C749" s="202"/>
      <c r="D749" s="202"/>
      <c r="E749" s="199"/>
      <c r="F749" s="202"/>
      <c r="G749" s="202"/>
      <c r="H749" s="202"/>
      <c r="I749" s="202"/>
      <c r="O749" s="202"/>
      <c r="R749" s="202"/>
    </row>
    <row r="750" spans="3:18" ht="16.5">
      <c r="C750" s="202"/>
      <c r="D750" s="202"/>
      <c r="E750" s="199"/>
      <c r="F750" s="202"/>
      <c r="G750" s="202"/>
      <c r="H750" s="202"/>
      <c r="I750" s="202"/>
      <c r="O750" s="202"/>
      <c r="R750" s="202"/>
    </row>
    <row r="751" spans="3:18" ht="16.5">
      <c r="C751" s="202"/>
      <c r="D751" s="202"/>
      <c r="E751" s="199"/>
      <c r="F751" s="202"/>
      <c r="G751" s="202"/>
      <c r="H751" s="202"/>
      <c r="I751" s="202"/>
      <c r="O751" s="202"/>
      <c r="R751" s="202"/>
    </row>
    <row r="752" spans="3:18" ht="16.5">
      <c r="C752" s="202"/>
      <c r="D752" s="202"/>
      <c r="E752" s="199"/>
      <c r="F752" s="202"/>
      <c r="G752" s="202"/>
      <c r="H752" s="202"/>
      <c r="I752" s="202"/>
      <c r="O752" s="202"/>
      <c r="R752" s="202"/>
    </row>
    <row r="753" spans="3:18" ht="16.5">
      <c r="C753" s="202"/>
      <c r="D753" s="202"/>
      <c r="E753" s="199"/>
      <c r="F753" s="202"/>
      <c r="G753" s="202"/>
      <c r="H753" s="202"/>
      <c r="I753" s="202"/>
      <c r="O753" s="202"/>
      <c r="R753" s="202"/>
    </row>
    <row r="754" spans="3:18" ht="16.5">
      <c r="C754" s="202"/>
      <c r="D754" s="202"/>
      <c r="E754" s="199"/>
      <c r="F754" s="202"/>
      <c r="G754" s="202"/>
      <c r="H754" s="202"/>
      <c r="I754" s="202"/>
      <c r="O754" s="202"/>
      <c r="R754" s="202"/>
    </row>
    <row r="755" spans="3:18" ht="16.5">
      <c r="C755" s="202"/>
      <c r="D755" s="202"/>
      <c r="E755" s="199"/>
      <c r="F755" s="202"/>
      <c r="G755" s="202"/>
      <c r="H755" s="202"/>
      <c r="I755" s="202"/>
      <c r="O755" s="202"/>
      <c r="R755" s="202"/>
    </row>
    <row r="756" spans="3:18" ht="16.5">
      <c r="C756" s="202"/>
      <c r="D756" s="202"/>
      <c r="E756" s="199"/>
      <c r="F756" s="202"/>
      <c r="G756" s="202"/>
      <c r="H756" s="202"/>
      <c r="I756" s="202"/>
      <c r="O756" s="202"/>
      <c r="R756" s="202"/>
    </row>
    <row r="757" spans="3:18" ht="16.5">
      <c r="C757" s="202"/>
      <c r="D757" s="202"/>
      <c r="E757" s="199"/>
      <c r="F757" s="202"/>
      <c r="G757" s="202"/>
      <c r="H757" s="202"/>
      <c r="I757" s="202"/>
      <c r="O757" s="202"/>
      <c r="R757" s="202"/>
    </row>
    <row r="758" spans="3:18" ht="16.5">
      <c r="C758" s="202"/>
      <c r="D758" s="202"/>
      <c r="E758" s="199"/>
      <c r="F758" s="202"/>
      <c r="G758" s="202"/>
      <c r="H758" s="202"/>
      <c r="I758" s="202"/>
      <c r="O758" s="202"/>
      <c r="R758" s="202"/>
    </row>
    <row r="759" spans="3:18" ht="16.5">
      <c r="C759" s="202"/>
      <c r="D759" s="202"/>
      <c r="E759" s="199"/>
      <c r="F759" s="202"/>
      <c r="G759" s="202"/>
      <c r="H759" s="202"/>
      <c r="I759" s="202"/>
      <c r="O759" s="202"/>
      <c r="R759" s="202"/>
    </row>
    <row r="760" spans="3:18" ht="16.5">
      <c r="C760" s="202"/>
      <c r="D760" s="202"/>
      <c r="E760" s="199"/>
      <c r="F760" s="202"/>
      <c r="G760" s="202"/>
      <c r="H760" s="202"/>
      <c r="I760" s="202"/>
      <c r="O760" s="202"/>
      <c r="R760" s="202"/>
    </row>
    <row r="761" spans="3:18" ht="16.5">
      <c r="C761" s="202"/>
      <c r="D761" s="202"/>
      <c r="E761" s="199"/>
      <c r="F761" s="202"/>
      <c r="G761" s="202"/>
      <c r="H761" s="202"/>
      <c r="I761" s="202"/>
      <c r="O761" s="202"/>
      <c r="R761" s="202"/>
    </row>
    <row r="762" spans="3:18" ht="16.5">
      <c r="C762" s="202"/>
      <c r="D762" s="202"/>
      <c r="E762" s="199"/>
      <c r="F762" s="202"/>
      <c r="G762" s="202"/>
      <c r="H762" s="202"/>
      <c r="I762" s="202"/>
      <c r="O762" s="202"/>
      <c r="R762" s="202"/>
    </row>
    <row r="763" spans="3:18" ht="16.5">
      <c r="C763" s="202"/>
      <c r="D763" s="202"/>
      <c r="E763" s="199"/>
      <c r="F763" s="202"/>
      <c r="G763" s="202"/>
      <c r="H763" s="202"/>
      <c r="I763" s="202"/>
      <c r="O763" s="202"/>
      <c r="R763" s="202"/>
    </row>
    <row r="764" spans="3:18" ht="16.5">
      <c r="C764" s="202"/>
      <c r="D764" s="202"/>
      <c r="E764" s="199"/>
      <c r="F764" s="202"/>
      <c r="G764" s="202"/>
      <c r="H764" s="202"/>
      <c r="I764" s="202"/>
      <c r="O764" s="202"/>
      <c r="R764" s="202"/>
    </row>
    <row r="765" spans="3:18" ht="16.5">
      <c r="C765" s="202"/>
      <c r="D765" s="202"/>
      <c r="E765" s="199"/>
      <c r="F765" s="202"/>
      <c r="G765" s="202"/>
      <c r="H765" s="202"/>
      <c r="I765" s="202"/>
      <c r="O765" s="202"/>
      <c r="R765" s="202"/>
    </row>
    <row r="766" spans="3:18" ht="16.5">
      <c r="C766" s="202"/>
      <c r="D766" s="202"/>
      <c r="E766" s="199"/>
      <c r="F766" s="202"/>
      <c r="G766" s="202"/>
      <c r="H766" s="202"/>
      <c r="I766" s="202"/>
      <c r="O766" s="202"/>
      <c r="R766" s="202"/>
    </row>
    <row r="767" spans="3:18" ht="16.5">
      <c r="C767" s="202"/>
      <c r="D767" s="202"/>
      <c r="E767" s="199"/>
      <c r="F767" s="202"/>
      <c r="G767" s="202"/>
      <c r="H767" s="202"/>
      <c r="I767" s="202"/>
      <c r="O767" s="202"/>
      <c r="R767" s="202"/>
    </row>
    <row r="768" spans="3:18" ht="16.5">
      <c r="C768" s="202"/>
      <c r="D768" s="202"/>
      <c r="E768" s="199"/>
      <c r="F768" s="202"/>
      <c r="G768" s="202"/>
      <c r="H768" s="202"/>
      <c r="I768" s="202"/>
      <c r="O768" s="202"/>
      <c r="R768" s="202"/>
    </row>
    <row r="769" spans="3:18" ht="16.5">
      <c r="C769" s="202"/>
      <c r="D769" s="202"/>
      <c r="E769" s="199"/>
      <c r="F769" s="202"/>
      <c r="G769" s="202"/>
      <c r="H769" s="202"/>
      <c r="I769" s="202"/>
      <c r="O769" s="202"/>
      <c r="R769" s="202"/>
    </row>
    <row r="770" spans="3:18" ht="16.5">
      <c r="C770" s="202"/>
      <c r="D770" s="202"/>
      <c r="E770" s="199"/>
      <c r="F770" s="202"/>
      <c r="G770" s="202"/>
      <c r="H770" s="202"/>
      <c r="I770" s="202"/>
      <c r="O770" s="202"/>
      <c r="R770" s="202"/>
    </row>
    <row r="771" spans="3:18" ht="16.5">
      <c r="C771" s="202"/>
      <c r="D771" s="202"/>
      <c r="E771" s="199"/>
      <c r="F771" s="202"/>
      <c r="G771" s="202"/>
      <c r="H771" s="202"/>
      <c r="I771" s="202"/>
      <c r="O771" s="202"/>
      <c r="R771" s="202"/>
    </row>
    <row r="772" spans="3:18" ht="16.5">
      <c r="C772" s="202"/>
      <c r="D772" s="202"/>
      <c r="E772" s="199"/>
      <c r="F772" s="202"/>
      <c r="G772" s="202"/>
      <c r="H772" s="202"/>
      <c r="I772" s="202"/>
      <c r="O772" s="202"/>
      <c r="R772" s="202"/>
    </row>
    <row r="773" spans="3:18" ht="16.5">
      <c r="C773" s="202"/>
      <c r="D773" s="202"/>
      <c r="E773" s="199"/>
      <c r="F773" s="202"/>
      <c r="G773" s="202"/>
      <c r="H773" s="202"/>
      <c r="I773" s="202"/>
      <c r="O773" s="202"/>
      <c r="R773" s="202"/>
    </row>
    <row r="774" spans="3:18" ht="16.5">
      <c r="C774" s="202"/>
      <c r="D774" s="202"/>
      <c r="E774" s="199"/>
      <c r="F774" s="202"/>
      <c r="G774" s="202"/>
      <c r="H774" s="202"/>
      <c r="I774" s="202"/>
      <c r="O774" s="202"/>
      <c r="R774" s="202"/>
    </row>
    <row r="775" spans="3:18" ht="16.5">
      <c r="C775" s="202"/>
      <c r="D775" s="202"/>
      <c r="E775" s="199"/>
      <c r="F775" s="202"/>
      <c r="G775" s="202"/>
      <c r="H775" s="202"/>
      <c r="I775" s="202"/>
      <c r="O775" s="202"/>
      <c r="R775" s="202"/>
    </row>
    <row r="776" spans="3:18" ht="16.5">
      <c r="C776" s="202"/>
      <c r="D776" s="202"/>
      <c r="E776" s="199"/>
      <c r="F776" s="202"/>
      <c r="G776" s="202"/>
      <c r="H776" s="202"/>
      <c r="I776" s="202"/>
      <c r="O776" s="202"/>
      <c r="R776" s="202"/>
    </row>
    <row r="777" spans="3:18" ht="16.5">
      <c r="C777" s="202"/>
      <c r="D777" s="202"/>
      <c r="E777" s="199"/>
      <c r="F777" s="202"/>
      <c r="G777" s="202"/>
      <c r="H777" s="202"/>
      <c r="I777" s="202"/>
      <c r="O777" s="202"/>
      <c r="R777" s="202"/>
    </row>
    <row r="778" spans="3:18" ht="16.5">
      <c r="C778" s="202"/>
      <c r="D778" s="202"/>
      <c r="E778" s="199"/>
      <c r="F778" s="202"/>
      <c r="G778" s="202"/>
      <c r="H778" s="202"/>
      <c r="I778" s="202"/>
      <c r="O778" s="202"/>
      <c r="R778" s="202"/>
    </row>
    <row r="779" spans="3:18" ht="16.5">
      <c r="C779" s="202"/>
      <c r="D779" s="202"/>
      <c r="E779" s="199"/>
      <c r="F779" s="202"/>
      <c r="G779" s="202"/>
      <c r="H779" s="202"/>
      <c r="I779" s="202"/>
      <c r="O779" s="202"/>
      <c r="R779" s="202"/>
    </row>
    <row r="780" spans="3:18" ht="16.5">
      <c r="C780" s="202"/>
      <c r="D780" s="202"/>
      <c r="E780" s="199"/>
      <c r="F780" s="202"/>
      <c r="G780" s="202"/>
      <c r="H780" s="202"/>
      <c r="I780" s="202"/>
      <c r="O780" s="202"/>
      <c r="R780" s="202"/>
    </row>
    <row r="781" spans="3:18" ht="16.5">
      <c r="C781" s="202"/>
      <c r="D781" s="202"/>
      <c r="E781" s="199"/>
      <c r="F781" s="202"/>
      <c r="G781" s="202"/>
      <c r="H781" s="202"/>
      <c r="I781" s="202"/>
      <c r="O781" s="202"/>
      <c r="R781" s="202"/>
    </row>
    <row r="782" spans="3:18" ht="16.5">
      <c r="C782" s="202"/>
      <c r="D782" s="202"/>
      <c r="E782" s="199"/>
      <c r="F782" s="202"/>
      <c r="G782" s="202"/>
      <c r="H782" s="202"/>
      <c r="I782" s="202"/>
      <c r="O782" s="202"/>
      <c r="R782" s="202"/>
    </row>
    <row r="783" spans="3:18" ht="16.5">
      <c r="C783" s="202"/>
      <c r="D783" s="202"/>
      <c r="E783" s="199"/>
      <c r="F783" s="202"/>
      <c r="G783" s="202"/>
      <c r="H783" s="202"/>
      <c r="I783" s="202"/>
      <c r="O783" s="202"/>
      <c r="R783" s="202"/>
    </row>
    <row r="784" spans="3:18" ht="16.5">
      <c r="C784" s="202"/>
      <c r="D784" s="202"/>
      <c r="E784" s="199"/>
      <c r="F784" s="202"/>
      <c r="G784" s="202"/>
      <c r="H784" s="202"/>
      <c r="I784" s="202"/>
      <c r="O784" s="202"/>
      <c r="R784" s="202"/>
    </row>
    <row r="785" spans="3:18" ht="16.5">
      <c r="C785" s="202"/>
      <c r="D785" s="202"/>
      <c r="E785" s="199"/>
      <c r="F785" s="202"/>
      <c r="G785" s="202"/>
      <c r="H785" s="202"/>
      <c r="I785" s="202"/>
      <c r="O785" s="202"/>
      <c r="R785" s="202"/>
    </row>
    <row r="786" spans="3:18" ht="16.5">
      <c r="C786" s="202"/>
      <c r="D786" s="202"/>
      <c r="E786" s="199"/>
      <c r="F786" s="202"/>
      <c r="G786" s="202"/>
      <c r="H786" s="202"/>
      <c r="I786" s="202"/>
      <c r="O786" s="202"/>
      <c r="R786" s="202"/>
    </row>
    <row r="787" spans="3:18" ht="16.5">
      <c r="C787" s="202"/>
      <c r="D787" s="202"/>
      <c r="E787" s="199"/>
      <c r="F787" s="202"/>
      <c r="G787" s="202"/>
      <c r="H787" s="202"/>
      <c r="I787" s="202"/>
      <c r="O787" s="202"/>
      <c r="R787" s="202"/>
    </row>
    <row r="788" spans="3:18" ht="16.5">
      <c r="C788" s="202"/>
      <c r="D788" s="202"/>
      <c r="E788" s="199"/>
      <c r="F788" s="202"/>
      <c r="G788" s="202"/>
      <c r="H788" s="202"/>
      <c r="I788" s="202"/>
      <c r="O788" s="202"/>
      <c r="R788" s="202"/>
    </row>
    <row r="789" spans="3:18" ht="16.5">
      <c r="C789" s="202"/>
      <c r="D789" s="202"/>
      <c r="E789" s="199"/>
      <c r="F789" s="202"/>
      <c r="G789" s="202"/>
      <c r="H789" s="202"/>
      <c r="I789" s="202"/>
      <c r="O789" s="202"/>
      <c r="R789" s="202"/>
    </row>
    <row r="790" spans="3:18" ht="16.5">
      <c r="C790" s="202"/>
      <c r="D790" s="202"/>
      <c r="E790" s="199"/>
      <c r="F790" s="202"/>
      <c r="G790" s="202"/>
      <c r="H790" s="202"/>
      <c r="I790" s="202"/>
      <c r="O790" s="202"/>
      <c r="R790" s="202"/>
    </row>
    <row r="791" spans="3:18" ht="16.5">
      <c r="C791" s="202"/>
      <c r="D791" s="202"/>
      <c r="E791" s="199"/>
      <c r="F791" s="202"/>
      <c r="G791" s="202"/>
      <c r="H791" s="202"/>
      <c r="I791" s="202"/>
      <c r="O791" s="202"/>
      <c r="R791" s="202"/>
    </row>
    <row r="792" spans="3:18" ht="16.5">
      <c r="C792" s="202"/>
      <c r="D792" s="202"/>
      <c r="E792" s="199"/>
      <c r="F792" s="202"/>
      <c r="G792" s="202"/>
      <c r="H792" s="202"/>
      <c r="I792" s="202"/>
      <c r="O792" s="202"/>
      <c r="R792" s="202"/>
    </row>
    <row r="793" spans="3:18" ht="16.5">
      <c r="C793" s="202"/>
      <c r="D793" s="202"/>
      <c r="E793" s="199"/>
      <c r="F793" s="202"/>
      <c r="G793" s="202"/>
      <c r="H793" s="202"/>
      <c r="I793" s="202"/>
      <c r="O793" s="202"/>
      <c r="R793" s="202"/>
    </row>
    <row r="794" spans="3:18" ht="16.5">
      <c r="C794" s="202"/>
      <c r="D794" s="202"/>
      <c r="E794" s="199"/>
      <c r="F794" s="202"/>
      <c r="G794" s="202"/>
      <c r="H794" s="202"/>
      <c r="I794" s="202"/>
      <c r="O794" s="202"/>
      <c r="R794" s="202"/>
    </row>
    <row r="795" spans="3:18" ht="16.5">
      <c r="C795" s="202"/>
      <c r="D795" s="202"/>
      <c r="E795" s="199"/>
      <c r="F795" s="202"/>
      <c r="G795" s="202"/>
      <c r="H795" s="202"/>
      <c r="I795" s="202"/>
      <c r="O795" s="202"/>
      <c r="R795" s="202"/>
    </row>
    <row r="796" spans="3:18" ht="16.5">
      <c r="C796" s="202"/>
      <c r="D796" s="202"/>
      <c r="E796" s="199"/>
      <c r="F796" s="202"/>
      <c r="G796" s="202"/>
      <c r="H796" s="202"/>
      <c r="I796" s="202"/>
      <c r="O796" s="202"/>
      <c r="R796" s="202"/>
    </row>
    <row r="797" spans="3:18" ht="16.5">
      <c r="C797" s="202"/>
      <c r="D797" s="202"/>
      <c r="E797" s="199"/>
      <c r="F797" s="202"/>
      <c r="G797" s="202"/>
      <c r="H797" s="202"/>
      <c r="I797" s="202"/>
      <c r="O797" s="202"/>
      <c r="R797" s="202"/>
    </row>
    <row r="798" spans="3:18" ht="16.5">
      <c r="C798" s="202"/>
      <c r="D798" s="202"/>
      <c r="E798" s="199"/>
      <c r="F798" s="202"/>
      <c r="G798" s="202"/>
      <c r="H798" s="202"/>
      <c r="I798" s="202"/>
      <c r="O798" s="202"/>
      <c r="R798" s="202"/>
    </row>
    <row r="799" spans="3:18" ht="16.5">
      <c r="C799" s="202"/>
      <c r="D799" s="202"/>
      <c r="E799" s="199"/>
      <c r="F799" s="202"/>
      <c r="G799" s="202"/>
      <c r="H799" s="202"/>
      <c r="I799" s="202"/>
      <c r="O799" s="202"/>
      <c r="R799" s="202"/>
    </row>
    <row r="800" spans="3:18" ht="16.5">
      <c r="C800" s="202"/>
      <c r="D800" s="202"/>
      <c r="E800" s="199"/>
      <c r="F800" s="202"/>
      <c r="G800" s="202"/>
      <c r="H800" s="202"/>
      <c r="I800" s="202"/>
      <c r="O800" s="202"/>
      <c r="R800" s="202"/>
    </row>
    <row r="801" spans="3:18" ht="16.5">
      <c r="C801" s="202"/>
      <c r="D801" s="202"/>
      <c r="E801" s="199"/>
      <c r="F801" s="202"/>
      <c r="G801" s="202"/>
      <c r="H801" s="202"/>
      <c r="I801" s="202"/>
      <c r="O801" s="202"/>
      <c r="R801" s="202"/>
    </row>
    <row r="802" spans="3:18" ht="16.5">
      <c r="C802" s="202"/>
      <c r="D802" s="202"/>
      <c r="E802" s="199"/>
      <c r="F802" s="202"/>
      <c r="G802" s="202"/>
      <c r="H802" s="202"/>
      <c r="I802" s="202"/>
      <c r="O802" s="202"/>
      <c r="R802" s="202"/>
    </row>
    <row r="803" spans="3:18" ht="16.5">
      <c r="C803" s="202"/>
      <c r="D803" s="202"/>
      <c r="E803" s="199"/>
      <c r="F803" s="202"/>
      <c r="G803" s="202"/>
      <c r="H803" s="202"/>
      <c r="I803" s="202"/>
      <c r="O803" s="202"/>
      <c r="R803" s="202"/>
    </row>
    <row r="804" spans="3:18" ht="16.5">
      <c r="C804" s="202"/>
      <c r="D804" s="202"/>
      <c r="E804" s="199"/>
      <c r="F804" s="202"/>
      <c r="G804" s="202"/>
      <c r="H804" s="202"/>
      <c r="I804" s="202"/>
      <c r="O804" s="202"/>
      <c r="R804" s="202"/>
    </row>
    <row r="805" spans="3:18" ht="16.5">
      <c r="C805" s="202"/>
      <c r="D805" s="202"/>
      <c r="E805" s="199"/>
      <c r="F805" s="202"/>
      <c r="G805" s="202"/>
      <c r="H805" s="202"/>
      <c r="I805" s="202"/>
      <c r="O805" s="202"/>
      <c r="R805" s="202"/>
    </row>
    <row r="806" spans="3:18" ht="16.5">
      <c r="C806" s="202"/>
      <c r="D806" s="202"/>
      <c r="E806" s="199"/>
      <c r="F806" s="202"/>
      <c r="G806" s="202"/>
      <c r="H806" s="202"/>
      <c r="I806" s="202"/>
      <c r="O806" s="202"/>
      <c r="R806" s="202"/>
    </row>
    <row r="807" spans="3:18" ht="16.5">
      <c r="C807" s="202"/>
      <c r="D807" s="202"/>
      <c r="E807" s="199"/>
      <c r="F807" s="202"/>
      <c r="G807" s="202"/>
      <c r="H807" s="202"/>
      <c r="I807" s="202"/>
      <c r="O807" s="202"/>
      <c r="R807" s="202"/>
    </row>
    <row r="808" spans="3:18" ht="16.5">
      <c r="C808" s="202"/>
      <c r="D808" s="202"/>
      <c r="E808" s="199"/>
      <c r="F808" s="202"/>
      <c r="G808" s="202"/>
      <c r="H808" s="202"/>
      <c r="I808" s="202"/>
      <c r="O808" s="202"/>
      <c r="R808" s="202"/>
    </row>
    <row r="809" spans="3:18" ht="16.5">
      <c r="C809" s="202"/>
      <c r="D809" s="202"/>
      <c r="E809" s="199"/>
      <c r="F809" s="202"/>
      <c r="G809" s="202"/>
      <c r="H809" s="202"/>
      <c r="I809" s="202"/>
      <c r="O809" s="202"/>
      <c r="R809" s="202"/>
    </row>
    <row r="810" spans="3:18" ht="16.5">
      <c r="C810" s="202"/>
      <c r="D810" s="202"/>
      <c r="E810" s="199"/>
      <c r="F810" s="202"/>
      <c r="G810" s="202"/>
      <c r="H810" s="202"/>
      <c r="I810" s="202"/>
      <c r="O810" s="202"/>
      <c r="R810" s="202"/>
    </row>
    <row r="811" spans="3:18" ht="16.5">
      <c r="C811" s="202"/>
      <c r="D811" s="202"/>
      <c r="E811" s="199"/>
      <c r="F811" s="202"/>
      <c r="G811" s="202"/>
      <c r="H811" s="202"/>
      <c r="I811" s="202"/>
      <c r="O811" s="202"/>
      <c r="R811" s="202"/>
    </row>
    <row r="812" spans="3:18" ht="16.5">
      <c r="C812" s="202"/>
      <c r="D812" s="202"/>
      <c r="E812" s="199"/>
      <c r="F812" s="202"/>
      <c r="G812" s="202"/>
      <c r="H812" s="202"/>
      <c r="I812" s="202"/>
      <c r="O812" s="202"/>
      <c r="R812" s="202"/>
    </row>
    <row r="813" spans="3:18" ht="16.5">
      <c r="C813" s="202"/>
      <c r="D813" s="202"/>
      <c r="E813" s="199"/>
      <c r="F813" s="202"/>
      <c r="G813" s="202"/>
      <c r="H813" s="202"/>
      <c r="I813" s="202"/>
      <c r="O813" s="202"/>
      <c r="R813" s="202"/>
    </row>
    <row r="814" spans="3:18" ht="16.5">
      <c r="C814" s="202"/>
      <c r="D814" s="202"/>
      <c r="E814" s="199"/>
      <c r="F814" s="202"/>
      <c r="G814" s="202"/>
      <c r="H814" s="202"/>
      <c r="I814" s="202"/>
      <c r="O814" s="202"/>
      <c r="R814" s="202"/>
    </row>
    <row r="815" spans="3:18" ht="16.5">
      <c r="C815" s="202"/>
      <c r="D815" s="202"/>
      <c r="E815" s="199"/>
      <c r="F815" s="202"/>
      <c r="G815" s="202"/>
      <c r="H815" s="202"/>
      <c r="I815" s="202"/>
      <c r="O815" s="202"/>
      <c r="R815" s="202"/>
    </row>
    <row r="816" spans="3:18" ht="16.5">
      <c r="C816" s="202"/>
      <c r="D816" s="202"/>
      <c r="E816" s="199"/>
      <c r="F816" s="202"/>
      <c r="G816" s="202"/>
      <c r="H816" s="202"/>
      <c r="I816" s="202"/>
      <c r="O816" s="202"/>
      <c r="R816" s="202"/>
    </row>
    <row r="817" spans="3:18" ht="16.5">
      <c r="C817" s="202"/>
      <c r="D817" s="202"/>
      <c r="E817" s="199"/>
      <c r="F817" s="202"/>
      <c r="G817" s="202"/>
      <c r="H817" s="202"/>
      <c r="I817" s="202"/>
      <c r="O817" s="202"/>
      <c r="R817" s="202"/>
    </row>
    <row r="818" spans="3:18" ht="16.5">
      <c r="C818" s="202"/>
      <c r="D818" s="202"/>
      <c r="E818" s="199"/>
      <c r="F818" s="202"/>
      <c r="G818" s="202"/>
      <c r="H818" s="202"/>
      <c r="I818" s="202"/>
      <c r="O818" s="202"/>
      <c r="R818" s="202"/>
    </row>
    <row r="819" spans="3:18" ht="16.5">
      <c r="C819" s="202"/>
      <c r="D819" s="202"/>
      <c r="E819" s="199"/>
      <c r="F819" s="202"/>
      <c r="G819" s="202"/>
      <c r="H819" s="202"/>
      <c r="I819" s="202"/>
      <c r="O819" s="202"/>
      <c r="R819" s="202"/>
    </row>
    <row r="820" spans="3:18" ht="16.5">
      <c r="C820" s="202"/>
      <c r="D820" s="202"/>
      <c r="E820" s="199"/>
      <c r="F820" s="202"/>
      <c r="G820" s="202"/>
      <c r="H820" s="202"/>
      <c r="I820" s="202"/>
      <c r="O820" s="202"/>
      <c r="R820" s="202"/>
    </row>
    <row r="821" spans="3:18" ht="16.5">
      <c r="C821" s="202"/>
      <c r="D821" s="202"/>
      <c r="E821" s="199"/>
      <c r="F821" s="202"/>
      <c r="G821" s="202"/>
      <c r="H821" s="202"/>
      <c r="I821" s="202"/>
      <c r="O821" s="202"/>
      <c r="R821" s="202"/>
    </row>
    <row r="822" spans="3:18" ht="16.5">
      <c r="C822" s="202"/>
      <c r="D822" s="202"/>
      <c r="E822" s="199"/>
      <c r="F822" s="202"/>
      <c r="G822" s="202"/>
      <c r="H822" s="202"/>
      <c r="I822" s="202"/>
      <c r="O822" s="202"/>
      <c r="R822" s="202"/>
    </row>
    <row r="823" spans="3:18" ht="16.5">
      <c r="C823" s="202"/>
      <c r="D823" s="202"/>
      <c r="E823" s="199"/>
      <c r="F823" s="202"/>
      <c r="G823" s="202"/>
      <c r="H823" s="202"/>
      <c r="I823" s="202"/>
      <c r="O823" s="202"/>
      <c r="R823" s="202"/>
    </row>
    <row r="824" spans="3:18" ht="16.5">
      <c r="C824" s="202"/>
      <c r="D824" s="202"/>
      <c r="E824" s="199"/>
      <c r="F824" s="202"/>
      <c r="G824" s="202"/>
      <c r="H824" s="202"/>
      <c r="I824" s="202"/>
      <c r="O824" s="202"/>
      <c r="R824" s="202"/>
    </row>
    <row r="825" spans="3:18" ht="16.5">
      <c r="C825" s="202"/>
      <c r="D825" s="202"/>
      <c r="E825" s="199"/>
      <c r="F825" s="202"/>
      <c r="G825" s="202"/>
      <c r="H825" s="202"/>
      <c r="I825" s="202"/>
      <c r="O825" s="202"/>
      <c r="R825" s="202"/>
    </row>
    <row r="826" spans="3:18" ht="16.5">
      <c r="C826" s="202"/>
      <c r="D826" s="202"/>
      <c r="E826" s="199"/>
      <c r="F826" s="202"/>
      <c r="G826" s="202"/>
      <c r="H826" s="202"/>
      <c r="I826" s="202"/>
      <c r="O826" s="202"/>
      <c r="R826" s="202"/>
    </row>
    <row r="827" spans="3:18" ht="16.5">
      <c r="C827" s="202"/>
      <c r="D827" s="202"/>
      <c r="E827" s="199"/>
      <c r="F827" s="202"/>
      <c r="G827" s="202"/>
      <c r="H827" s="202"/>
      <c r="I827" s="202"/>
      <c r="O827" s="202"/>
      <c r="R827" s="202"/>
    </row>
    <row r="828" spans="3:18" ht="16.5">
      <c r="C828" s="202"/>
      <c r="D828" s="202"/>
      <c r="E828" s="199"/>
      <c r="F828" s="202"/>
      <c r="G828" s="202"/>
      <c r="H828" s="202"/>
      <c r="I828" s="202"/>
      <c r="O828" s="202"/>
      <c r="R828" s="202"/>
    </row>
    <row r="829" spans="3:18" ht="16.5">
      <c r="C829" s="202"/>
      <c r="D829" s="202"/>
      <c r="E829" s="199"/>
      <c r="F829" s="202"/>
      <c r="G829" s="202"/>
      <c r="H829" s="202"/>
      <c r="I829" s="202"/>
      <c r="O829" s="202"/>
      <c r="R829" s="202"/>
    </row>
    <row r="830" spans="3:18" ht="16.5">
      <c r="C830" s="202"/>
      <c r="D830" s="202"/>
      <c r="E830" s="199"/>
      <c r="F830" s="202"/>
      <c r="G830" s="202"/>
      <c r="H830" s="202"/>
      <c r="I830" s="202"/>
      <c r="O830" s="202"/>
      <c r="R830" s="202"/>
    </row>
    <row r="831" spans="3:18" ht="16.5">
      <c r="C831" s="202"/>
      <c r="D831" s="202"/>
      <c r="E831" s="199"/>
      <c r="F831" s="202"/>
      <c r="G831" s="202"/>
      <c r="H831" s="202"/>
      <c r="I831" s="202"/>
      <c r="O831" s="202"/>
      <c r="R831" s="202"/>
    </row>
    <row r="832" spans="3:18" ht="16.5">
      <c r="C832" s="202"/>
      <c r="D832" s="202"/>
      <c r="E832" s="199"/>
      <c r="F832" s="202"/>
      <c r="G832" s="202"/>
      <c r="H832" s="202"/>
      <c r="I832" s="202"/>
      <c r="O832" s="202"/>
      <c r="R832" s="202"/>
    </row>
    <row r="833" spans="3:18" ht="16.5">
      <c r="C833" s="202"/>
      <c r="D833" s="202"/>
      <c r="E833" s="199"/>
      <c r="F833" s="202"/>
      <c r="G833" s="202"/>
      <c r="H833" s="202"/>
      <c r="I833" s="202"/>
      <c r="O833" s="202"/>
      <c r="R833" s="202"/>
    </row>
    <row r="834" spans="3:18" ht="16.5">
      <c r="C834" s="202"/>
      <c r="D834" s="202"/>
      <c r="E834" s="199"/>
      <c r="F834" s="202"/>
      <c r="G834" s="202"/>
      <c r="H834" s="202"/>
      <c r="I834" s="202"/>
      <c r="O834" s="202"/>
      <c r="R834" s="202"/>
    </row>
    <row r="835" spans="3:18" ht="16.5">
      <c r="C835" s="202"/>
      <c r="D835" s="202"/>
      <c r="E835" s="199"/>
      <c r="F835" s="202"/>
      <c r="G835" s="202"/>
      <c r="H835" s="202"/>
      <c r="I835" s="202"/>
      <c r="O835" s="202"/>
      <c r="R835" s="202"/>
    </row>
    <row r="836" spans="3:18" ht="16.5">
      <c r="C836" s="202"/>
      <c r="D836" s="202"/>
      <c r="E836" s="199"/>
      <c r="F836" s="202"/>
      <c r="G836" s="202"/>
      <c r="H836" s="202"/>
      <c r="I836" s="202"/>
      <c r="O836" s="202"/>
      <c r="R836" s="202"/>
    </row>
    <row r="837" spans="3:18" ht="16.5">
      <c r="C837" s="202"/>
      <c r="D837" s="202"/>
      <c r="E837" s="199"/>
      <c r="F837" s="202"/>
      <c r="G837" s="202"/>
      <c r="H837" s="202"/>
      <c r="I837" s="202"/>
      <c r="O837" s="202"/>
      <c r="R837" s="202"/>
    </row>
    <row r="838" spans="3:18" ht="16.5">
      <c r="C838" s="202"/>
      <c r="D838" s="202"/>
      <c r="E838" s="199"/>
      <c r="F838" s="202"/>
      <c r="G838" s="202"/>
      <c r="H838" s="202"/>
      <c r="I838" s="202"/>
      <c r="O838" s="202"/>
      <c r="R838" s="202"/>
    </row>
    <row r="839" spans="3:18" ht="16.5">
      <c r="C839" s="202"/>
      <c r="D839" s="202"/>
      <c r="E839" s="199"/>
      <c r="F839" s="202"/>
      <c r="G839" s="202"/>
      <c r="H839" s="202"/>
      <c r="I839" s="202"/>
      <c r="O839" s="202"/>
      <c r="R839" s="202"/>
    </row>
    <row r="840" spans="3:18" ht="16.5">
      <c r="C840" s="202"/>
      <c r="D840" s="202"/>
      <c r="E840" s="199"/>
      <c r="F840" s="202"/>
      <c r="G840" s="202"/>
      <c r="H840" s="202"/>
      <c r="I840" s="202"/>
      <c r="O840" s="202"/>
      <c r="R840" s="202"/>
    </row>
    <row r="841" spans="3:18" ht="16.5">
      <c r="C841" s="202"/>
      <c r="D841" s="202"/>
      <c r="E841" s="199"/>
      <c r="F841" s="202"/>
      <c r="G841" s="202"/>
      <c r="H841" s="202"/>
      <c r="I841" s="202"/>
      <c r="O841" s="202"/>
      <c r="R841" s="202"/>
    </row>
    <row r="842" spans="3:18" ht="16.5">
      <c r="C842" s="202"/>
      <c r="D842" s="202"/>
      <c r="E842" s="199"/>
      <c r="F842" s="202"/>
      <c r="G842" s="202"/>
      <c r="H842" s="202"/>
      <c r="I842" s="202"/>
      <c r="O842" s="202"/>
      <c r="R842" s="202"/>
    </row>
    <row r="843" spans="3:18" ht="16.5">
      <c r="C843" s="202"/>
      <c r="D843" s="202"/>
      <c r="E843" s="199"/>
      <c r="F843" s="202"/>
      <c r="G843" s="202"/>
      <c r="H843" s="202"/>
      <c r="I843" s="202"/>
      <c r="O843" s="202"/>
      <c r="R843" s="202"/>
    </row>
    <row r="844" spans="3:18" ht="16.5">
      <c r="C844" s="202"/>
      <c r="D844" s="202"/>
      <c r="E844" s="199"/>
      <c r="F844" s="202"/>
      <c r="G844" s="202"/>
      <c r="H844" s="202"/>
      <c r="I844" s="202"/>
      <c r="O844" s="202"/>
      <c r="R844" s="202"/>
    </row>
    <row r="845" spans="3:18" ht="16.5">
      <c r="C845" s="202"/>
      <c r="D845" s="202"/>
      <c r="E845" s="199"/>
      <c r="F845" s="202"/>
      <c r="G845" s="202"/>
      <c r="H845" s="202"/>
      <c r="I845" s="202"/>
      <c r="O845" s="202"/>
      <c r="R845" s="202"/>
    </row>
    <row r="846" spans="3:18" ht="16.5">
      <c r="C846" s="202"/>
      <c r="D846" s="202"/>
      <c r="E846" s="199"/>
      <c r="F846" s="202"/>
      <c r="G846" s="202"/>
      <c r="H846" s="202"/>
      <c r="I846" s="202"/>
      <c r="O846" s="202"/>
      <c r="R846" s="202"/>
    </row>
    <row r="847" spans="3:18" ht="16.5">
      <c r="C847" s="202"/>
      <c r="D847" s="202"/>
      <c r="E847" s="199"/>
      <c r="F847" s="202"/>
      <c r="G847" s="202"/>
      <c r="H847" s="202"/>
      <c r="I847" s="202"/>
      <c r="O847" s="202"/>
      <c r="R847" s="202"/>
    </row>
    <row r="848" spans="3:18" ht="16.5">
      <c r="C848" s="202"/>
      <c r="D848" s="202"/>
      <c r="E848" s="199"/>
      <c r="F848" s="202"/>
      <c r="G848" s="202"/>
      <c r="H848" s="202"/>
      <c r="I848" s="202"/>
      <c r="O848" s="202"/>
      <c r="R848" s="202"/>
    </row>
    <row r="849" spans="3:18" ht="16.5">
      <c r="C849" s="202"/>
      <c r="D849" s="202"/>
      <c r="E849" s="199"/>
      <c r="F849" s="202"/>
      <c r="G849" s="202"/>
      <c r="H849" s="202"/>
      <c r="I849" s="202"/>
      <c r="O849" s="202"/>
      <c r="R849" s="202"/>
    </row>
    <row r="850" spans="3:18" ht="16.5">
      <c r="C850" s="202"/>
      <c r="D850" s="202"/>
      <c r="E850" s="199"/>
      <c r="F850" s="202"/>
      <c r="G850" s="202"/>
      <c r="H850" s="202"/>
      <c r="I850" s="202"/>
      <c r="O850" s="202"/>
      <c r="R850" s="202"/>
    </row>
    <row r="851" spans="3:18" ht="16.5">
      <c r="C851" s="202"/>
      <c r="D851" s="202"/>
      <c r="E851" s="199"/>
      <c r="F851" s="202"/>
      <c r="G851" s="202"/>
      <c r="H851" s="202"/>
      <c r="I851" s="202"/>
      <c r="O851" s="202"/>
      <c r="R851" s="202"/>
    </row>
    <row r="852" spans="3:18" ht="16.5">
      <c r="C852" s="202"/>
      <c r="D852" s="202"/>
      <c r="E852" s="199"/>
      <c r="F852" s="202"/>
      <c r="G852" s="202"/>
      <c r="H852" s="202"/>
      <c r="I852" s="202"/>
      <c r="O852" s="202"/>
      <c r="R852" s="202"/>
    </row>
    <row r="853" spans="3:18" ht="16.5">
      <c r="C853" s="202"/>
      <c r="D853" s="202"/>
      <c r="E853" s="199"/>
      <c r="F853" s="202"/>
      <c r="G853" s="202"/>
      <c r="H853" s="202"/>
      <c r="I853" s="202"/>
      <c r="O853" s="202"/>
      <c r="R853" s="202"/>
    </row>
    <row r="854" spans="3:18" ht="16.5">
      <c r="C854" s="202"/>
      <c r="D854" s="202"/>
      <c r="E854" s="199"/>
      <c r="F854" s="202"/>
      <c r="G854" s="202"/>
      <c r="H854" s="202"/>
      <c r="I854" s="202"/>
      <c r="O854" s="202"/>
      <c r="R854" s="202"/>
    </row>
    <row r="855" spans="3:18" ht="16.5">
      <c r="C855" s="202"/>
      <c r="D855" s="202"/>
      <c r="E855" s="199"/>
      <c r="F855" s="202"/>
      <c r="G855" s="202"/>
      <c r="H855" s="202"/>
      <c r="I855" s="202"/>
      <c r="O855" s="202"/>
      <c r="R855" s="202"/>
    </row>
    <row r="856" spans="3:18" ht="16.5">
      <c r="C856" s="202"/>
      <c r="D856" s="202"/>
      <c r="E856" s="199"/>
      <c r="F856" s="202"/>
      <c r="G856" s="202"/>
      <c r="H856" s="202"/>
      <c r="I856" s="202"/>
      <c r="O856" s="202"/>
      <c r="R856" s="202"/>
    </row>
    <row r="857" spans="3:18" ht="16.5">
      <c r="C857" s="202"/>
      <c r="D857" s="202"/>
      <c r="E857" s="199"/>
      <c r="F857" s="202"/>
      <c r="G857" s="202"/>
      <c r="H857" s="202"/>
      <c r="I857" s="202"/>
      <c r="O857" s="202"/>
      <c r="R857" s="202"/>
    </row>
    <row r="858" spans="3:18" ht="16.5">
      <c r="C858" s="202"/>
      <c r="D858" s="202"/>
      <c r="E858" s="199"/>
      <c r="F858" s="202"/>
      <c r="G858" s="202"/>
      <c r="H858" s="202"/>
      <c r="I858" s="202"/>
      <c r="O858" s="202"/>
      <c r="R858" s="202"/>
    </row>
    <row r="859" spans="3:18" ht="16.5">
      <c r="C859" s="202"/>
      <c r="D859" s="202"/>
      <c r="E859" s="199"/>
      <c r="F859" s="202"/>
      <c r="G859" s="202"/>
      <c r="H859" s="202"/>
      <c r="I859" s="202"/>
      <c r="O859" s="202"/>
      <c r="R859" s="202"/>
    </row>
    <row r="860" spans="3:18" ht="16.5">
      <c r="C860" s="202"/>
      <c r="D860" s="202"/>
      <c r="E860" s="199"/>
      <c r="F860" s="202"/>
      <c r="G860" s="202"/>
      <c r="H860" s="202"/>
      <c r="I860" s="202"/>
      <c r="O860" s="202"/>
      <c r="R860" s="202"/>
    </row>
    <row r="861" spans="3:18" ht="16.5">
      <c r="C861" s="202"/>
      <c r="D861" s="202"/>
      <c r="E861" s="199"/>
      <c r="F861" s="202"/>
      <c r="G861" s="202"/>
      <c r="H861" s="202"/>
      <c r="I861" s="202"/>
      <c r="O861" s="202"/>
      <c r="R861" s="202"/>
    </row>
    <row r="862" spans="3:18" ht="16.5">
      <c r="C862" s="202"/>
      <c r="D862" s="202"/>
      <c r="E862" s="199"/>
      <c r="F862" s="202"/>
      <c r="G862" s="202"/>
      <c r="H862" s="202"/>
      <c r="I862" s="202"/>
      <c r="O862" s="202"/>
      <c r="R862" s="202"/>
    </row>
    <row r="863" spans="3:18" ht="16.5">
      <c r="C863" s="202"/>
      <c r="D863" s="202"/>
      <c r="E863" s="199"/>
      <c r="F863" s="202"/>
      <c r="G863" s="202"/>
      <c r="H863" s="202"/>
      <c r="I863" s="202"/>
      <c r="O863" s="202"/>
      <c r="R863" s="202"/>
    </row>
    <row r="864" spans="3:18" ht="16.5">
      <c r="C864" s="202"/>
      <c r="D864" s="202"/>
      <c r="E864" s="199"/>
      <c r="F864" s="202"/>
      <c r="G864" s="202"/>
      <c r="H864" s="202"/>
      <c r="I864" s="202"/>
      <c r="O864" s="202"/>
      <c r="R864" s="202"/>
    </row>
    <row r="865" spans="3:18" ht="16.5">
      <c r="C865" s="202"/>
      <c r="D865" s="202"/>
      <c r="E865" s="199"/>
      <c r="F865" s="202"/>
      <c r="G865" s="202"/>
      <c r="H865" s="202"/>
      <c r="I865" s="202"/>
      <c r="O865" s="202"/>
      <c r="R865" s="202"/>
    </row>
    <row r="866" spans="3:18" ht="16.5">
      <c r="C866" s="202"/>
      <c r="D866" s="202"/>
      <c r="E866" s="199"/>
      <c r="F866" s="202"/>
      <c r="G866" s="202"/>
      <c r="H866" s="202"/>
      <c r="I866" s="202"/>
      <c r="O866" s="202"/>
      <c r="R866" s="202"/>
    </row>
    <row r="867" spans="3:18" ht="16.5">
      <c r="C867" s="202"/>
      <c r="D867" s="202"/>
      <c r="E867" s="199"/>
      <c r="F867" s="202"/>
      <c r="G867" s="202"/>
      <c r="H867" s="202"/>
      <c r="I867" s="202"/>
      <c r="O867" s="202"/>
      <c r="R867" s="202"/>
    </row>
    <row r="868" spans="3:18" ht="16.5">
      <c r="C868" s="202"/>
      <c r="D868" s="202"/>
      <c r="E868" s="199"/>
      <c r="F868" s="202"/>
      <c r="G868" s="202"/>
      <c r="H868" s="202"/>
      <c r="I868" s="202"/>
      <c r="O868" s="202"/>
      <c r="R868" s="202"/>
    </row>
    <row r="869" spans="3:18" ht="16.5">
      <c r="C869" s="202"/>
      <c r="D869" s="202"/>
      <c r="E869" s="199"/>
      <c r="F869" s="202"/>
      <c r="G869" s="202"/>
      <c r="H869" s="202"/>
      <c r="I869" s="202"/>
      <c r="O869" s="202"/>
      <c r="R869" s="202"/>
    </row>
    <row r="870" spans="3:18" ht="16.5">
      <c r="C870" s="202"/>
      <c r="D870" s="202"/>
      <c r="E870" s="199"/>
      <c r="F870" s="202"/>
      <c r="G870" s="202"/>
      <c r="H870" s="202"/>
      <c r="I870" s="202"/>
      <c r="O870" s="202"/>
      <c r="R870" s="202"/>
    </row>
    <row r="871" spans="3:18" ht="16.5">
      <c r="C871" s="202"/>
      <c r="D871" s="202"/>
      <c r="E871" s="199"/>
      <c r="F871" s="202"/>
      <c r="G871" s="202"/>
      <c r="H871" s="202"/>
      <c r="I871" s="202"/>
      <c r="O871" s="202"/>
      <c r="R871" s="202"/>
    </row>
    <row r="872" spans="3:18" ht="16.5">
      <c r="C872" s="202"/>
      <c r="D872" s="202"/>
      <c r="E872" s="199"/>
      <c r="F872" s="202"/>
      <c r="G872" s="202"/>
      <c r="H872" s="202"/>
      <c r="I872" s="202"/>
      <c r="O872" s="202"/>
      <c r="R872" s="202"/>
    </row>
    <row r="873" spans="3:18" ht="16.5">
      <c r="C873" s="202"/>
      <c r="D873" s="202"/>
      <c r="E873" s="199"/>
      <c r="F873" s="202"/>
      <c r="G873" s="202"/>
      <c r="H873" s="202"/>
      <c r="I873" s="202"/>
      <c r="O873" s="202"/>
      <c r="R873" s="202"/>
    </row>
    <row r="874" spans="3:18" ht="16.5">
      <c r="C874" s="202"/>
      <c r="D874" s="202"/>
      <c r="E874" s="199"/>
      <c r="F874" s="202"/>
      <c r="G874" s="202"/>
      <c r="H874" s="202"/>
      <c r="I874" s="202"/>
      <c r="O874" s="202"/>
      <c r="R874" s="202"/>
    </row>
    <row r="875" spans="3:18" ht="16.5">
      <c r="C875" s="202"/>
      <c r="D875" s="202"/>
      <c r="E875" s="199"/>
      <c r="F875" s="202"/>
      <c r="G875" s="202"/>
      <c r="H875" s="202"/>
      <c r="I875" s="202"/>
      <c r="O875" s="202"/>
      <c r="R875" s="202"/>
    </row>
    <row r="876" spans="3:18" ht="16.5">
      <c r="C876" s="202"/>
      <c r="D876" s="202"/>
      <c r="E876" s="199"/>
      <c r="F876" s="202"/>
      <c r="G876" s="202"/>
      <c r="H876" s="202"/>
      <c r="I876" s="202"/>
      <c r="O876" s="202"/>
      <c r="R876" s="202"/>
    </row>
    <row r="877" spans="3:18" ht="16.5">
      <c r="C877" s="202"/>
      <c r="D877" s="202"/>
      <c r="E877" s="199"/>
      <c r="F877" s="202"/>
      <c r="G877" s="202"/>
      <c r="H877" s="202"/>
      <c r="I877" s="202"/>
      <c r="O877" s="202"/>
      <c r="R877" s="202"/>
    </row>
    <row r="878" spans="3:18" ht="16.5">
      <c r="C878" s="202"/>
      <c r="D878" s="202"/>
      <c r="E878" s="199"/>
      <c r="F878" s="202"/>
      <c r="G878" s="202"/>
      <c r="H878" s="202"/>
      <c r="I878" s="202"/>
      <c r="O878" s="202"/>
      <c r="R878" s="202"/>
    </row>
    <row r="879" spans="3:18" ht="16.5">
      <c r="C879" s="202"/>
      <c r="D879" s="202"/>
      <c r="E879" s="199"/>
      <c r="F879" s="202"/>
      <c r="G879" s="202"/>
      <c r="H879" s="202"/>
      <c r="I879" s="202"/>
      <c r="O879" s="202"/>
      <c r="R879" s="202"/>
    </row>
    <row r="880" spans="3:18" ht="16.5">
      <c r="C880" s="202"/>
      <c r="D880" s="202"/>
      <c r="E880" s="199"/>
      <c r="F880" s="202"/>
      <c r="G880" s="202"/>
      <c r="H880" s="202"/>
      <c r="I880" s="202"/>
      <c r="O880" s="202"/>
      <c r="R880" s="202"/>
    </row>
    <row r="881" spans="3:18" ht="16.5">
      <c r="C881" s="202"/>
      <c r="D881" s="202"/>
      <c r="E881" s="199"/>
      <c r="F881" s="202"/>
      <c r="G881" s="202"/>
      <c r="H881" s="202"/>
      <c r="I881" s="202"/>
      <c r="O881" s="202"/>
      <c r="R881" s="202"/>
    </row>
    <row r="882" spans="3:18" ht="16.5">
      <c r="C882" s="202"/>
      <c r="D882" s="202"/>
      <c r="E882" s="199"/>
      <c r="F882" s="202"/>
      <c r="G882" s="202"/>
      <c r="H882" s="202"/>
      <c r="I882" s="202"/>
      <c r="O882" s="202"/>
      <c r="R882" s="202"/>
    </row>
    <row r="883" spans="3:18" ht="16.5">
      <c r="C883" s="202"/>
      <c r="D883" s="202"/>
      <c r="E883" s="199"/>
      <c r="F883" s="202"/>
      <c r="G883" s="202"/>
      <c r="H883" s="202"/>
      <c r="I883" s="202"/>
      <c r="O883" s="202"/>
      <c r="R883" s="202"/>
    </row>
    <row r="884" spans="3:18" ht="16.5">
      <c r="C884" s="202"/>
      <c r="D884" s="202"/>
      <c r="E884" s="199"/>
      <c r="F884" s="202"/>
      <c r="G884" s="202"/>
      <c r="H884" s="202"/>
      <c r="I884" s="202"/>
      <c r="O884" s="202"/>
      <c r="R884" s="202"/>
    </row>
    <row r="885" spans="3:18" ht="16.5">
      <c r="C885" s="202"/>
      <c r="D885" s="202"/>
      <c r="E885" s="199"/>
      <c r="F885" s="202"/>
      <c r="G885" s="202"/>
      <c r="H885" s="202"/>
      <c r="I885" s="202"/>
      <c r="O885" s="202"/>
      <c r="R885" s="202"/>
    </row>
    <row r="886" spans="3:18" ht="16.5">
      <c r="C886" s="202"/>
      <c r="D886" s="202"/>
      <c r="E886" s="199"/>
      <c r="F886" s="202"/>
      <c r="G886" s="202"/>
      <c r="H886" s="202"/>
      <c r="I886" s="202"/>
      <c r="O886" s="202"/>
      <c r="R886" s="202"/>
    </row>
    <row r="887" spans="3:18" ht="16.5">
      <c r="C887" s="202"/>
      <c r="D887" s="202"/>
      <c r="E887" s="199"/>
      <c r="F887" s="202"/>
      <c r="G887" s="202"/>
      <c r="H887" s="202"/>
      <c r="I887" s="202"/>
      <c r="O887" s="202"/>
      <c r="R887" s="202"/>
    </row>
    <row r="888" spans="3:18" ht="16.5">
      <c r="C888" s="202"/>
      <c r="D888" s="202"/>
      <c r="E888" s="199"/>
      <c r="F888" s="202"/>
      <c r="G888" s="202"/>
      <c r="H888" s="202"/>
      <c r="I888" s="202"/>
      <c r="O888" s="202"/>
      <c r="R888" s="202"/>
    </row>
    <row r="889" spans="3:18" ht="16.5">
      <c r="C889" s="202"/>
      <c r="D889" s="202"/>
      <c r="E889" s="199"/>
      <c r="F889" s="202"/>
      <c r="G889" s="202"/>
      <c r="H889" s="202"/>
      <c r="I889" s="202"/>
      <c r="O889" s="202"/>
      <c r="R889" s="202"/>
    </row>
    <row r="890" spans="3:18" ht="16.5">
      <c r="C890" s="202"/>
      <c r="D890" s="202"/>
      <c r="E890" s="199"/>
      <c r="F890" s="202"/>
      <c r="G890" s="202"/>
      <c r="H890" s="202"/>
      <c r="I890" s="202"/>
      <c r="O890" s="202"/>
      <c r="R890" s="202"/>
    </row>
    <row r="891" spans="3:18" ht="16.5">
      <c r="C891" s="202"/>
      <c r="D891" s="202"/>
      <c r="E891" s="199"/>
      <c r="F891" s="202"/>
      <c r="G891" s="202"/>
      <c r="H891" s="202"/>
      <c r="I891" s="202"/>
      <c r="O891" s="202"/>
      <c r="R891" s="202"/>
    </row>
    <row r="892" spans="3:18" ht="16.5">
      <c r="C892" s="202"/>
      <c r="D892" s="202"/>
      <c r="E892" s="199"/>
      <c r="F892" s="202"/>
      <c r="G892" s="202"/>
      <c r="H892" s="202"/>
      <c r="I892" s="202"/>
      <c r="O892" s="202"/>
      <c r="R892" s="202"/>
    </row>
    <row r="893" spans="3:18" ht="16.5">
      <c r="C893" s="202"/>
      <c r="D893" s="202"/>
      <c r="E893" s="199"/>
      <c r="F893" s="202"/>
      <c r="G893" s="202"/>
      <c r="H893" s="202"/>
      <c r="I893" s="202"/>
      <c r="O893" s="202"/>
      <c r="R893" s="202"/>
    </row>
    <row r="894" spans="3:18" ht="16.5">
      <c r="C894" s="202"/>
      <c r="D894" s="202"/>
      <c r="E894" s="199"/>
      <c r="F894" s="202"/>
      <c r="G894" s="202"/>
      <c r="H894" s="202"/>
      <c r="I894" s="202"/>
      <c r="O894" s="202"/>
      <c r="R894" s="202"/>
    </row>
    <row r="895" spans="3:18" ht="16.5">
      <c r="C895" s="202"/>
      <c r="D895" s="202"/>
      <c r="E895" s="199"/>
      <c r="F895" s="202"/>
      <c r="G895" s="202"/>
      <c r="H895" s="202"/>
      <c r="I895" s="202"/>
      <c r="O895" s="202"/>
      <c r="R895" s="202"/>
    </row>
    <row r="896" spans="3:18" ht="16.5">
      <c r="C896" s="202"/>
      <c r="D896" s="202"/>
      <c r="E896" s="199"/>
      <c r="F896" s="202"/>
      <c r="G896" s="202"/>
      <c r="H896" s="202"/>
      <c r="I896" s="202"/>
      <c r="O896" s="202"/>
      <c r="R896" s="202"/>
    </row>
    <row r="897" spans="3:18" ht="16.5">
      <c r="C897" s="202"/>
      <c r="D897" s="202"/>
      <c r="E897" s="199"/>
      <c r="F897" s="202"/>
      <c r="G897" s="202"/>
      <c r="H897" s="202"/>
      <c r="I897" s="202"/>
      <c r="O897" s="202"/>
      <c r="R897" s="202"/>
    </row>
    <row r="898" spans="3:18" ht="16.5">
      <c r="C898" s="202"/>
      <c r="D898" s="202"/>
      <c r="E898" s="199"/>
      <c r="F898" s="202"/>
      <c r="G898" s="202"/>
      <c r="H898" s="202"/>
      <c r="I898" s="202"/>
      <c r="O898" s="202"/>
      <c r="R898" s="202"/>
    </row>
    <row r="899" spans="3:18" ht="16.5">
      <c r="C899" s="202"/>
      <c r="D899" s="202"/>
      <c r="E899" s="199"/>
      <c r="F899" s="202"/>
      <c r="G899" s="202"/>
      <c r="H899" s="202"/>
      <c r="I899" s="202"/>
      <c r="O899" s="202"/>
      <c r="R899" s="202"/>
    </row>
    <row r="900" spans="3:18" ht="16.5">
      <c r="C900" s="202"/>
      <c r="D900" s="202"/>
      <c r="E900" s="199"/>
      <c r="F900" s="202"/>
      <c r="G900" s="202"/>
      <c r="H900" s="202"/>
      <c r="I900" s="202"/>
      <c r="O900" s="202"/>
      <c r="R900" s="202"/>
    </row>
    <row r="901" spans="3:18" ht="16.5">
      <c r="C901" s="202"/>
      <c r="D901" s="202"/>
      <c r="E901" s="199"/>
      <c r="F901" s="202"/>
      <c r="G901" s="202"/>
      <c r="H901" s="202"/>
      <c r="I901" s="202"/>
      <c r="O901" s="202"/>
      <c r="R901" s="202"/>
    </row>
    <row r="902" spans="3:18" ht="16.5">
      <c r="C902" s="202"/>
      <c r="D902" s="202"/>
      <c r="E902" s="199"/>
      <c r="F902" s="202"/>
      <c r="G902" s="202"/>
      <c r="H902" s="202"/>
      <c r="I902" s="202"/>
      <c r="O902" s="202"/>
      <c r="R902" s="202"/>
    </row>
    <row r="903" spans="3:18" ht="16.5">
      <c r="C903" s="202"/>
      <c r="D903" s="202"/>
      <c r="E903" s="199"/>
      <c r="F903" s="202"/>
      <c r="G903" s="202"/>
      <c r="H903" s="202"/>
      <c r="I903" s="202"/>
      <c r="O903" s="202"/>
      <c r="R903" s="202"/>
    </row>
    <row r="904" spans="3:18" ht="16.5">
      <c r="C904" s="202"/>
      <c r="D904" s="202"/>
      <c r="E904" s="199"/>
      <c r="F904" s="202"/>
      <c r="G904" s="202"/>
      <c r="H904" s="202"/>
      <c r="I904" s="202"/>
      <c r="O904" s="202"/>
      <c r="R904" s="202"/>
    </row>
    <row r="905" spans="3:18" ht="16.5">
      <c r="C905" s="202"/>
      <c r="D905" s="202"/>
      <c r="E905" s="199"/>
      <c r="F905" s="202"/>
      <c r="G905" s="202"/>
      <c r="H905" s="202"/>
      <c r="I905" s="202"/>
      <c r="O905" s="202"/>
      <c r="R905" s="202"/>
    </row>
    <row r="906" spans="3:18" ht="16.5">
      <c r="C906" s="202"/>
      <c r="D906" s="202"/>
      <c r="E906" s="199"/>
      <c r="F906" s="202"/>
      <c r="G906" s="202"/>
      <c r="H906" s="202"/>
      <c r="I906" s="202"/>
      <c r="O906" s="202"/>
      <c r="R906" s="202"/>
    </row>
    <row r="907" spans="3:18" ht="16.5">
      <c r="C907" s="202"/>
      <c r="D907" s="202"/>
      <c r="E907" s="199"/>
      <c r="F907" s="202"/>
      <c r="G907" s="202"/>
      <c r="H907" s="202"/>
      <c r="I907" s="202"/>
      <c r="O907" s="202"/>
      <c r="R907" s="202"/>
    </row>
    <row r="908" spans="3:18" ht="16.5">
      <c r="C908" s="202"/>
      <c r="D908" s="202"/>
      <c r="E908" s="199"/>
      <c r="F908" s="202"/>
      <c r="G908" s="202"/>
      <c r="H908" s="202"/>
      <c r="I908" s="202"/>
      <c r="O908" s="202"/>
      <c r="R908" s="202"/>
    </row>
    <row r="909" spans="3:18" ht="16.5">
      <c r="C909" s="202"/>
      <c r="D909" s="202"/>
      <c r="E909" s="199"/>
      <c r="F909" s="202"/>
      <c r="G909" s="202"/>
      <c r="H909" s="202"/>
      <c r="I909" s="202"/>
      <c r="O909" s="202"/>
      <c r="R909" s="202"/>
    </row>
    <row r="910" spans="3:18" ht="16.5">
      <c r="C910" s="202"/>
      <c r="D910" s="202"/>
      <c r="E910" s="199"/>
      <c r="F910" s="202"/>
      <c r="G910" s="202"/>
      <c r="H910" s="202"/>
      <c r="I910" s="202"/>
      <c r="O910" s="202"/>
      <c r="R910" s="202"/>
    </row>
    <row r="911" spans="3:18" ht="16.5">
      <c r="C911" s="202"/>
      <c r="D911" s="202"/>
      <c r="E911" s="199"/>
      <c r="F911" s="202"/>
      <c r="G911" s="202"/>
      <c r="H911" s="202"/>
      <c r="I911" s="202"/>
      <c r="O911" s="202"/>
      <c r="R911" s="202"/>
    </row>
    <row r="912" spans="3:18" ht="16.5">
      <c r="C912" s="202"/>
      <c r="D912" s="202"/>
      <c r="E912" s="199"/>
      <c r="F912" s="202"/>
      <c r="G912" s="202"/>
      <c r="H912" s="202"/>
      <c r="I912" s="202"/>
      <c r="O912" s="202"/>
      <c r="R912" s="202"/>
    </row>
    <row r="913" spans="3:18" ht="16.5">
      <c r="C913" s="202"/>
      <c r="D913" s="202"/>
      <c r="E913" s="199"/>
      <c r="F913" s="202"/>
      <c r="G913" s="202"/>
      <c r="H913" s="202"/>
      <c r="I913" s="202"/>
      <c r="O913" s="202"/>
      <c r="R913" s="202"/>
    </row>
    <row r="914" spans="3:18" ht="16.5">
      <c r="C914" s="202"/>
      <c r="D914" s="202"/>
      <c r="E914" s="199"/>
      <c r="F914" s="202"/>
      <c r="G914" s="202"/>
      <c r="H914" s="202"/>
      <c r="I914" s="202"/>
      <c r="O914" s="202"/>
      <c r="R914" s="202"/>
    </row>
    <row r="915" spans="3:18" ht="16.5">
      <c r="C915" s="202"/>
      <c r="D915" s="202"/>
      <c r="E915" s="199"/>
      <c r="F915" s="202"/>
      <c r="G915" s="202"/>
      <c r="H915" s="202"/>
      <c r="I915" s="202"/>
      <c r="O915" s="202"/>
      <c r="R915" s="202"/>
    </row>
    <row r="916" spans="3:18" ht="16.5">
      <c r="C916" s="202"/>
      <c r="D916" s="202"/>
      <c r="E916" s="199"/>
      <c r="F916" s="202"/>
      <c r="G916" s="202"/>
      <c r="H916" s="202"/>
      <c r="I916" s="202"/>
      <c r="O916" s="202"/>
      <c r="R916" s="202"/>
    </row>
    <row r="917" spans="3:18" ht="16.5">
      <c r="C917" s="202"/>
      <c r="D917" s="202"/>
      <c r="E917" s="199"/>
      <c r="F917" s="202"/>
      <c r="G917" s="202"/>
      <c r="H917" s="202"/>
      <c r="I917" s="202"/>
      <c r="O917" s="202"/>
      <c r="R917" s="202"/>
    </row>
    <row r="918" spans="3:18" ht="16.5">
      <c r="C918" s="202"/>
      <c r="D918" s="202"/>
      <c r="E918" s="199"/>
      <c r="F918" s="202"/>
      <c r="G918" s="202"/>
      <c r="H918" s="202"/>
      <c r="I918" s="202"/>
      <c r="O918" s="202"/>
      <c r="R918" s="202"/>
    </row>
    <row r="919" spans="3:18" ht="16.5">
      <c r="C919" s="202"/>
      <c r="D919" s="202"/>
      <c r="E919" s="199"/>
      <c r="F919" s="202"/>
      <c r="G919" s="202"/>
      <c r="H919" s="202"/>
      <c r="I919" s="202"/>
      <c r="O919" s="202"/>
      <c r="R919" s="202"/>
    </row>
    <row r="920" spans="3:18" ht="16.5">
      <c r="C920" s="202"/>
      <c r="D920" s="202"/>
      <c r="E920" s="199"/>
      <c r="F920" s="202"/>
      <c r="G920" s="202"/>
      <c r="H920" s="202"/>
      <c r="I920" s="202"/>
      <c r="O920" s="202"/>
      <c r="R920" s="202"/>
    </row>
    <row r="921" spans="3:18" ht="16.5">
      <c r="C921" s="202"/>
      <c r="D921" s="202"/>
      <c r="E921" s="199"/>
      <c r="F921" s="202"/>
      <c r="G921" s="202"/>
      <c r="H921" s="202"/>
      <c r="I921" s="202"/>
      <c r="O921" s="202"/>
      <c r="R921" s="202"/>
    </row>
    <row r="922" spans="3:18" ht="16.5">
      <c r="C922" s="202"/>
      <c r="D922" s="202"/>
      <c r="E922" s="199"/>
      <c r="F922" s="202"/>
      <c r="G922" s="202"/>
      <c r="H922" s="202"/>
      <c r="I922" s="202"/>
      <c r="O922" s="202"/>
      <c r="R922" s="202"/>
    </row>
    <row r="923" spans="3:18" ht="16.5">
      <c r="C923" s="202"/>
      <c r="D923" s="202"/>
      <c r="E923" s="199"/>
      <c r="F923" s="202"/>
      <c r="G923" s="202"/>
      <c r="H923" s="202"/>
      <c r="I923" s="202"/>
      <c r="O923" s="202"/>
      <c r="R923" s="202"/>
    </row>
    <row r="924" spans="3:18" ht="16.5">
      <c r="C924" s="202"/>
      <c r="D924" s="202"/>
      <c r="E924" s="199"/>
      <c r="F924" s="202"/>
      <c r="G924" s="202"/>
      <c r="H924" s="202"/>
      <c r="I924" s="202"/>
      <c r="O924" s="202"/>
      <c r="R924" s="202"/>
    </row>
    <row r="925" spans="3:18" ht="16.5">
      <c r="C925" s="202"/>
      <c r="D925" s="202"/>
      <c r="E925" s="199"/>
      <c r="F925" s="202"/>
      <c r="G925" s="202"/>
      <c r="H925" s="202"/>
      <c r="I925" s="202"/>
      <c r="O925" s="202"/>
      <c r="R925" s="202"/>
    </row>
    <row r="926" spans="3:18" ht="16.5">
      <c r="C926" s="202"/>
      <c r="D926" s="202"/>
      <c r="E926" s="199"/>
      <c r="F926" s="202"/>
      <c r="G926" s="202"/>
      <c r="H926" s="202"/>
      <c r="I926" s="202"/>
      <c r="O926" s="202"/>
      <c r="R926" s="202"/>
    </row>
    <row r="927" spans="3:18" ht="16.5">
      <c r="C927" s="202"/>
      <c r="D927" s="202"/>
      <c r="E927" s="199"/>
      <c r="F927" s="202"/>
      <c r="G927" s="202"/>
      <c r="H927" s="202"/>
      <c r="I927" s="202"/>
      <c r="O927" s="202"/>
      <c r="R927" s="202"/>
    </row>
    <row r="928" spans="3:18" ht="16.5">
      <c r="C928" s="202"/>
      <c r="D928" s="202"/>
      <c r="E928" s="199"/>
      <c r="F928" s="202"/>
      <c r="G928" s="202"/>
      <c r="H928" s="202"/>
      <c r="I928" s="202"/>
      <c r="O928" s="202"/>
      <c r="R928" s="202"/>
    </row>
    <row r="929" spans="3:18" ht="16.5">
      <c r="C929" s="202"/>
      <c r="D929" s="202"/>
      <c r="E929" s="199"/>
      <c r="F929" s="202"/>
      <c r="G929" s="202"/>
      <c r="H929" s="202"/>
      <c r="I929" s="202"/>
      <c r="O929" s="202"/>
      <c r="R929" s="202"/>
    </row>
    <row r="930" spans="3:18" ht="16.5">
      <c r="C930" s="202"/>
      <c r="D930" s="202"/>
      <c r="E930" s="199"/>
      <c r="F930" s="202"/>
      <c r="G930" s="202"/>
      <c r="H930" s="202"/>
      <c r="I930" s="202"/>
      <c r="O930" s="202"/>
      <c r="R930" s="202"/>
    </row>
    <row r="931" spans="3:18" ht="16.5">
      <c r="C931" s="202"/>
      <c r="D931" s="202"/>
      <c r="E931" s="199"/>
      <c r="F931" s="202"/>
      <c r="G931" s="202"/>
      <c r="H931" s="202"/>
      <c r="I931" s="202"/>
      <c r="O931" s="202"/>
      <c r="R931" s="202"/>
    </row>
    <row r="932" spans="3:18" ht="16.5">
      <c r="C932" s="202"/>
      <c r="D932" s="202"/>
      <c r="E932" s="199"/>
      <c r="F932" s="202"/>
      <c r="G932" s="202"/>
      <c r="H932" s="202"/>
      <c r="I932" s="202"/>
      <c r="O932" s="202"/>
      <c r="R932" s="202"/>
    </row>
    <row r="933" spans="3:18" ht="16.5">
      <c r="C933" s="202"/>
      <c r="D933" s="202"/>
      <c r="E933" s="199"/>
      <c r="F933" s="202"/>
      <c r="G933" s="202"/>
      <c r="H933" s="202"/>
      <c r="I933" s="202"/>
      <c r="O933" s="202"/>
      <c r="R933" s="202"/>
    </row>
    <row r="934" spans="3:18" ht="16.5">
      <c r="C934" s="202"/>
      <c r="D934" s="202"/>
      <c r="E934" s="199"/>
      <c r="F934" s="202"/>
      <c r="G934" s="202"/>
      <c r="H934" s="202"/>
      <c r="I934" s="202"/>
      <c r="O934" s="202"/>
      <c r="R934" s="202"/>
    </row>
    <row r="935" spans="3:18" ht="16.5">
      <c r="C935" s="202"/>
      <c r="D935" s="202"/>
      <c r="E935" s="199"/>
      <c r="F935" s="202"/>
      <c r="G935" s="202"/>
      <c r="H935" s="202"/>
      <c r="I935" s="202"/>
      <c r="O935" s="202"/>
      <c r="R935" s="202"/>
    </row>
    <row r="936" spans="3:18" ht="16.5">
      <c r="C936" s="202"/>
      <c r="D936" s="202"/>
      <c r="E936" s="199"/>
      <c r="F936" s="202"/>
      <c r="G936" s="202"/>
      <c r="H936" s="202"/>
      <c r="I936" s="202"/>
      <c r="O936" s="202"/>
      <c r="R936" s="202"/>
    </row>
    <row r="937" spans="3:18" ht="16.5">
      <c r="C937" s="202"/>
      <c r="D937" s="202"/>
      <c r="E937" s="199"/>
      <c r="F937" s="202"/>
      <c r="G937" s="202"/>
      <c r="H937" s="202"/>
      <c r="I937" s="202"/>
      <c r="O937" s="202"/>
      <c r="R937" s="202"/>
    </row>
    <row r="938" spans="3:18" ht="16.5">
      <c r="C938" s="202"/>
      <c r="D938" s="202"/>
      <c r="E938" s="199"/>
      <c r="F938" s="202"/>
      <c r="G938" s="202"/>
      <c r="H938" s="202"/>
      <c r="I938" s="202"/>
      <c r="O938" s="202"/>
      <c r="R938" s="202"/>
    </row>
    <row r="939" spans="3:18" ht="16.5">
      <c r="C939" s="202"/>
      <c r="D939" s="202"/>
      <c r="E939" s="199"/>
      <c r="F939" s="202"/>
      <c r="G939" s="202"/>
      <c r="H939" s="202"/>
      <c r="I939" s="202"/>
      <c r="O939" s="202"/>
      <c r="R939" s="202"/>
    </row>
    <row r="940" spans="3:18" ht="16.5">
      <c r="C940" s="202"/>
      <c r="D940" s="202"/>
      <c r="E940" s="199"/>
      <c r="F940" s="202"/>
      <c r="G940" s="202"/>
      <c r="H940" s="202"/>
      <c r="I940" s="202"/>
      <c r="O940" s="202"/>
      <c r="R940" s="202"/>
    </row>
    <row r="941" spans="3:18" ht="16.5">
      <c r="C941" s="202"/>
      <c r="D941" s="202"/>
      <c r="E941" s="199"/>
      <c r="F941" s="202"/>
      <c r="G941" s="202"/>
      <c r="H941" s="202"/>
      <c r="I941" s="202"/>
      <c r="O941" s="202"/>
      <c r="R941" s="202"/>
    </row>
    <row r="942" spans="3:18" ht="16.5">
      <c r="C942" s="202"/>
      <c r="D942" s="202"/>
      <c r="E942" s="199"/>
      <c r="F942" s="202"/>
      <c r="G942" s="202"/>
      <c r="H942" s="202"/>
      <c r="I942" s="202"/>
      <c r="O942" s="202"/>
      <c r="R942" s="202"/>
    </row>
    <row r="943" spans="3:18" ht="16.5">
      <c r="C943" s="202"/>
      <c r="D943" s="202"/>
      <c r="E943" s="199"/>
      <c r="F943" s="202"/>
      <c r="G943" s="202"/>
      <c r="H943" s="202"/>
      <c r="I943" s="202"/>
      <c r="O943" s="202"/>
      <c r="R943" s="202"/>
    </row>
    <row r="944" spans="3:18" ht="16.5">
      <c r="C944" s="202"/>
      <c r="D944" s="202"/>
      <c r="E944" s="199"/>
      <c r="F944" s="202"/>
      <c r="G944" s="202"/>
      <c r="H944" s="202"/>
      <c r="I944" s="202"/>
      <c r="O944" s="202"/>
      <c r="R944" s="202"/>
    </row>
    <row r="945" spans="3:18" ht="16.5">
      <c r="C945" s="202"/>
      <c r="D945" s="202"/>
      <c r="E945" s="199"/>
      <c r="F945" s="202"/>
      <c r="G945" s="202"/>
      <c r="H945" s="202"/>
      <c r="I945" s="202"/>
      <c r="O945" s="202"/>
      <c r="R945" s="202"/>
    </row>
    <row r="946" spans="3:18" ht="16.5">
      <c r="C946" s="202"/>
      <c r="D946" s="202"/>
      <c r="E946" s="199"/>
      <c r="F946" s="202"/>
      <c r="G946" s="202"/>
      <c r="H946" s="202"/>
      <c r="I946" s="202"/>
      <c r="O946" s="202"/>
      <c r="R946" s="202"/>
    </row>
    <row r="947" spans="3:18" ht="16.5">
      <c r="C947" s="202"/>
      <c r="D947" s="202"/>
      <c r="E947" s="199"/>
      <c r="F947" s="202"/>
      <c r="G947" s="202"/>
      <c r="H947" s="202"/>
      <c r="I947" s="202"/>
      <c r="O947" s="202"/>
      <c r="R947" s="202"/>
    </row>
    <row r="948" spans="3:18" ht="16.5">
      <c r="C948" s="202"/>
      <c r="D948" s="202"/>
      <c r="E948" s="199"/>
      <c r="F948" s="202"/>
      <c r="G948" s="202"/>
      <c r="H948" s="202"/>
      <c r="I948" s="202"/>
      <c r="O948" s="202"/>
      <c r="R948" s="202"/>
    </row>
    <row r="949" spans="3:18" ht="16.5">
      <c r="C949" s="202"/>
      <c r="D949" s="202"/>
      <c r="E949" s="199"/>
      <c r="F949" s="202"/>
      <c r="G949" s="202"/>
      <c r="H949" s="202"/>
      <c r="I949" s="202"/>
      <c r="O949" s="202"/>
      <c r="R949" s="202"/>
    </row>
    <row r="950" spans="3:18" ht="16.5">
      <c r="C950" s="202"/>
      <c r="D950" s="202"/>
      <c r="E950" s="199"/>
      <c r="F950" s="202"/>
      <c r="G950" s="202"/>
      <c r="H950" s="202"/>
      <c r="I950" s="202"/>
      <c r="O950" s="202"/>
      <c r="R950" s="202"/>
    </row>
    <row r="951" spans="3:18" ht="16.5">
      <c r="C951" s="202"/>
      <c r="D951" s="202"/>
      <c r="E951" s="199"/>
      <c r="F951" s="202"/>
      <c r="G951" s="202"/>
      <c r="H951" s="202"/>
      <c r="I951" s="202"/>
      <c r="O951" s="202"/>
      <c r="R951" s="202"/>
    </row>
    <row r="952" spans="3:18" ht="16.5">
      <c r="C952" s="202"/>
      <c r="D952" s="202"/>
      <c r="E952" s="199"/>
      <c r="F952" s="202"/>
      <c r="G952" s="202"/>
      <c r="H952" s="202"/>
      <c r="I952" s="202"/>
      <c r="O952" s="202"/>
      <c r="R952" s="202"/>
    </row>
    <row r="953" spans="3:18" ht="16.5">
      <c r="C953" s="202"/>
      <c r="D953" s="202"/>
      <c r="E953" s="199"/>
      <c r="F953" s="202"/>
      <c r="G953" s="202"/>
      <c r="H953" s="202"/>
      <c r="I953" s="202"/>
      <c r="O953" s="202"/>
      <c r="R953" s="202"/>
    </row>
    <row r="954" spans="3:18" ht="16.5">
      <c r="C954" s="202"/>
      <c r="D954" s="202"/>
      <c r="E954" s="199"/>
      <c r="F954" s="202"/>
      <c r="G954" s="202"/>
      <c r="H954" s="202"/>
      <c r="I954" s="202"/>
      <c r="O954" s="202"/>
      <c r="R954" s="202"/>
    </row>
    <row r="955" spans="3:18" ht="16.5">
      <c r="C955" s="202"/>
      <c r="D955" s="202"/>
      <c r="E955" s="199"/>
      <c r="F955" s="202"/>
      <c r="G955" s="202"/>
      <c r="H955" s="202"/>
      <c r="I955" s="202"/>
      <c r="O955" s="202"/>
      <c r="R955" s="202"/>
    </row>
    <row r="956" spans="3:18" ht="16.5">
      <c r="C956" s="202"/>
      <c r="D956" s="202"/>
      <c r="E956" s="199"/>
      <c r="F956" s="202"/>
      <c r="G956" s="202"/>
      <c r="H956" s="202"/>
      <c r="I956" s="202"/>
      <c r="O956" s="202"/>
      <c r="R956" s="202"/>
    </row>
    <row r="957" spans="3:18" ht="16.5">
      <c r="C957" s="202"/>
      <c r="D957" s="202"/>
      <c r="E957" s="199"/>
      <c r="F957" s="202"/>
      <c r="G957" s="202"/>
      <c r="H957" s="202"/>
      <c r="I957" s="202"/>
      <c r="O957" s="202"/>
      <c r="R957" s="202"/>
    </row>
    <row r="958" spans="3:18" ht="16.5">
      <c r="C958" s="202"/>
      <c r="D958" s="202"/>
      <c r="E958" s="199"/>
      <c r="F958" s="202"/>
      <c r="G958" s="202"/>
      <c r="H958" s="202"/>
      <c r="I958" s="202"/>
      <c r="O958" s="202"/>
      <c r="R958" s="202"/>
    </row>
    <row r="959" spans="3:18" ht="16.5">
      <c r="C959" s="202"/>
      <c r="D959" s="202"/>
      <c r="E959" s="199"/>
      <c r="F959" s="202"/>
      <c r="G959" s="202"/>
      <c r="H959" s="202"/>
      <c r="I959" s="202"/>
      <c r="O959" s="202"/>
      <c r="R959" s="202"/>
    </row>
    <row r="960" spans="3:18" ht="16.5">
      <c r="C960" s="202"/>
      <c r="D960" s="202"/>
      <c r="E960" s="199"/>
      <c r="F960" s="202"/>
      <c r="G960" s="202"/>
      <c r="H960" s="202"/>
      <c r="I960" s="202"/>
      <c r="O960" s="202"/>
      <c r="R960" s="202"/>
    </row>
    <row r="961" spans="3:18" ht="16.5">
      <c r="C961" s="202"/>
      <c r="D961" s="202"/>
      <c r="E961" s="199"/>
      <c r="F961" s="202"/>
      <c r="G961" s="202"/>
      <c r="H961" s="202"/>
      <c r="I961" s="202"/>
      <c r="O961" s="202"/>
      <c r="R961" s="202"/>
    </row>
    <row r="962" spans="3:18" ht="16.5">
      <c r="C962" s="202"/>
      <c r="D962" s="202"/>
      <c r="E962" s="199"/>
      <c r="F962" s="202"/>
      <c r="G962" s="202"/>
      <c r="H962" s="202"/>
      <c r="I962" s="202"/>
      <c r="O962" s="202"/>
      <c r="R962" s="202"/>
    </row>
    <row r="963" spans="3:18" ht="16.5">
      <c r="C963" s="202"/>
      <c r="D963" s="202"/>
      <c r="E963" s="199"/>
      <c r="F963" s="202"/>
      <c r="G963" s="202"/>
      <c r="H963" s="202"/>
      <c r="I963" s="202"/>
      <c r="O963" s="202"/>
      <c r="R963" s="202"/>
    </row>
    <row r="964" spans="3:18" ht="16.5">
      <c r="C964" s="202"/>
      <c r="D964" s="202"/>
      <c r="E964" s="199"/>
      <c r="F964" s="202"/>
      <c r="G964" s="202"/>
      <c r="H964" s="202"/>
      <c r="I964" s="202"/>
      <c r="O964" s="202"/>
      <c r="R964" s="202"/>
    </row>
    <row r="965" spans="3:18" ht="16.5">
      <c r="C965" s="202"/>
      <c r="D965" s="202"/>
      <c r="E965" s="199"/>
      <c r="F965" s="202"/>
      <c r="G965" s="202"/>
      <c r="H965" s="202"/>
      <c r="I965" s="202"/>
      <c r="O965" s="202"/>
      <c r="R965" s="202"/>
    </row>
    <row r="966" spans="3:18" ht="16.5">
      <c r="C966" s="202"/>
      <c r="D966" s="202"/>
      <c r="E966" s="199"/>
      <c r="F966" s="202"/>
      <c r="G966" s="202"/>
      <c r="H966" s="202"/>
      <c r="I966" s="202"/>
      <c r="O966" s="202"/>
      <c r="R966" s="202"/>
    </row>
    <row r="967" spans="3:18" ht="16.5">
      <c r="C967" s="202"/>
      <c r="D967" s="202"/>
      <c r="E967" s="199"/>
      <c r="F967" s="202"/>
      <c r="G967" s="202"/>
      <c r="H967" s="202"/>
      <c r="I967" s="202"/>
      <c r="O967" s="202"/>
      <c r="R967" s="202"/>
    </row>
    <row r="968" spans="3:18" ht="16.5">
      <c r="C968" s="202"/>
      <c r="D968" s="202"/>
      <c r="E968" s="199"/>
      <c r="F968" s="202"/>
      <c r="G968" s="202"/>
      <c r="H968" s="202"/>
      <c r="I968" s="202"/>
      <c r="O968" s="202"/>
      <c r="R968" s="202"/>
    </row>
    <row r="969" spans="3:18" ht="16.5">
      <c r="C969" s="202"/>
      <c r="D969" s="202"/>
      <c r="E969" s="199"/>
      <c r="F969" s="202"/>
      <c r="G969" s="202"/>
      <c r="H969" s="202"/>
      <c r="I969" s="202"/>
      <c r="O969" s="202"/>
      <c r="R969" s="202"/>
    </row>
    <row r="970" spans="3:18" ht="16.5">
      <c r="C970" s="202"/>
      <c r="D970" s="202"/>
      <c r="E970" s="199"/>
      <c r="F970" s="202"/>
      <c r="G970" s="202"/>
      <c r="H970" s="202"/>
      <c r="I970" s="202"/>
      <c r="O970" s="202"/>
      <c r="R970" s="202"/>
    </row>
    <row r="971" spans="3:18" ht="16.5">
      <c r="C971" s="202"/>
      <c r="D971" s="202"/>
      <c r="E971" s="199"/>
      <c r="F971" s="202"/>
      <c r="G971" s="202"/>
      <c r="H971" s="202"/>
      <c r="I971" s="202"/>
      <c r="O971" s="202"/>
      <c r="R971" s="202"/>
    </row>
    <row r="972" spans="3:18" ht="16.5">
      <c r="C972" s="202"/>
      <c r="D972" s="202"/>
      <c r="E972" s="199"/>
      <c r="F972" s="202"/>
      <c r="G972" s="202"/>
      <c r="H972" s="202"/>
      <c r="I972" s="202"/>
      <c r="O972" s="202"/>
      <c r="R972" s="202"/>
    </row>
    <row r="973" spans="3:18" ht="16.5">
      <c r="C973" s="202"/>
      <c r="D973" s="202"/>
      <c r="E973" s="199"/>
      <c r="F973" s="202"/>
      <c r="G973" s="202"/>
      <c r="H973" s="202"/>
      <c r="I973" s="202"/>
      <c r="O973" s="202"/>
      <c r="R973" s="202"/>
    </row>
    <row r="974" spans="3:18" ht="16.5">
      <c r="C974" s="202"/>
      <c r="D974" s="202"/>
      <c r="E974" s="199"/>
      <c r="F974" s="202"/>
      <c r="G974" s="202"/>
      <c r="H974" s="202"/>
      <c r="I974" s="202"/>
      <c r="O974" s="202"/>
      <c r="R974" s="202"/>
    </row>
    <row r="975" spans="3:18" ht="16.5">
      <c r="C975" s="202"/>
      <c r="D975" s="202"/>
      <c r="E975" s="199"/>
      <c r="F975" s="202"/>
      <c r="G975" s="202"/>
      <c r="H975" s="202"/>
      <c r="I975" s="202"/>
      <c r="O975" s="202"/>
      <c r="R975" s="202"/>
    </row>
    <row r="976" spans="3:18" ht="16.5">
      <c r="C976" s="202"/>
      <c r="D976" s="202"/>
      <c r="E976" s="199"/>
      <c r="F976" s="202"/>
      <c r="G976" s="202"/>
      <c r="H976" s="202"/>
      <c r="I976" s="202"/>
      <c r="O976" s="202"/>
      <c r="R976" s="202"/>
    </row>
    <row r="977" spans="3:18" ht="16.5">
      <c r="C977" s="202"/>
      <c r="D977" s="202"/>
      <c r="E977" s="199"/>
      <c r="F977" s="202"/>
      <c r="G977" s="202"/>
      <c r="H977" s="202"/>
      <c r="I977" s="202"/>
      <c r="O977" s="202"/>
      <c r="R977" s="202"/>
    </row>
    <row r="978" spans="3:18" ht="16.5">
      <c r="C978" s="202"/>
      <c r="D978" s="202"/>
      <c r="E978" s="199"/>
      <c r="F978" s="202"/>
      <c r="G978" s="202"/>
      <c r="H978" s="202"/>
      <c r="I978" s="202"/>
      <c r="O978" s="202"/>
      <c r="R978" s="202"/>
    </row>
    <row r="979" spans="3:18" ht="16.5">
      <c r="C979" s="202"/>
      <c r="D979" s="202"/>
      <c r="E979" s="199"/>
      <c r="F979" s="202"/>
      <c r="G979" s="202"/>
      <c r="H979" s="202"/>
      <c r="I979" s="202"/>
      <c r="O979" s="202"/>
      <c r="R979" s="202"/>
    </row>
    <row r="980" spans="3:18" ht="16.5">
      <c r="C980" s="202"/>
      <c r="D980" s="202"/>
      <c r="E980" s="199"/>
      <c r="F980" s="202"/>
      <c r="G980" s="202"/>
      <c r="H980" s="202"/>
      <c r="I980" s="202"/>
      <c r="O980" s="202"/>
      <c r="R980" s="202"/>
    </row>
    <row r="981" spans="3:18" ht="16.5">
      <c r="C981" s="202"/>
      <c r="D981" s="202"/>
      <c r="E981" s="199"/>
      <c r="F981" s="202"/>
      <c r="G981" s="202"/>
      <c r="H981" s="202"/>
      <c r="I981" s="202"/>
      <c r="O981" s="202"/>
      <c r="R981" s="202"/>
    </row>
    <row r="982" spans="3:18" ht="16.5">
      <c r="C982" s="202"/>
      <c r="D982" s="202"/>
      <c r="E982" s="199"/>
      <c r="F982" s="202"/>
      <c r="G982" s="202"/>
      <c r="H982" s="202"/>
      <c r="I982" s="202"/>
      <c r="O982" s="202"/>
      <c r="R982" s="202"/>
    </row>
    <row r="983" spans="3:18" ht="16.5">
      <c r="C983" s="202"/>
      <c r="D983" s="202"/>
      <c r="E983" s="199"/>
      <c r="F983" s="202"/>
      <c r="G983" s="202"/>
      <c r="H983" s="202"/>
      <c r="I983" s="202"/>
      <c r="O983" s="202"/>
      <c r="R983" s="202"/>
    </row>
    <row r="984" spans="3:18" ht="16.5">
      <c r="C984" s="202"/>
      <c r="D984" s="202"/>
      <c r="E984" s="199"/>
      <c r="F984" s="202"/>
      <c r="G984" s="202"/>
      <c r="H984" s="202"/>
      <c r="I984" s="202"/>
      <c r="O984" s="202"/>
      <c r="R984" s="202"/>
    </row>
    <row r="985" spans="3:18" ht="16.5">
      <c r="C985" s="202"/>
      <c r="D985" s="202"/>
      <c r="E985" s="199"/>
      <c r="F985" s="202"/>
      <c r="G985" s="202"/>
      <c r="H985" s="202"/>
      <c r="I985" s="202"/>
      <c r="O985" s="202"/>
      <c r="R985" s="202"/>
    </row>
    <row r="986" spans="3:18" ht="16.5">
      <c r="C986" s="202"/>
      <c r="D986" s="202"/>
      <c r="E986" s="199"/>
      <c r="F986" s="202"/>
      <c r="G986" s="202"/>
      <c r="H986" s="202"/>
      <c r="I986" s="202"/>
      <c r="O986" s="202"/>
      <c r="R986" s="202"/>
    </row>
    <row r="987" spans="3:18" ht="16.5">
      <c r="C987" s="202"/>
      <c r="D987" s="202"/>
      <c r="E987" s="199"/>
      <c r="F987" s="202"/>
      <c r="G987" s="202"/>
      <c r="H987" s="202"/>
      <c r="I987" s="202"/>
      <c r="O987" s="202"/>
      <c r="R987" s="202"/>
    </row>
    <row r="988" spans="3:18" ht="16.5">
      <c r="C988" s="202"/>
      <c r="D988" s="202"/>
      <c r="E988" s="199"/>
      <c r="F988" s="202"/>
      <c r="G988" s="202"/>
      <c r="H988" s="202"/>
      <c r="I988" s="202"/>
      <c r="O988" s="202"/>
      <c r="R988" s="202"/>
    </row>
    <row r="989" spans="3:18" ht="16.5">
      <c r="C989" s="202"/>
      <c r="D989" s="202"/>
      <c r="E989" s="199"/>
      <c r="F989" s="202"/>
      <c r="G989" s="202"/>
      <c r="H989" s="202"/>
      <c r="I989" s="202"/>
      <c r="O989" s="202"/>
      <c r="R989" s="202"/>
    </row>
    <row r="990" spans="3:18" ht="16.5">
      <c r="C990" s="202"/>
      <c r="D990" s="202"/>
      <c r="E990" s="199"/>
      <c r="F990" s="202"/>
      <c r="G990" s="202"/>
      <c r="H990" s="202"/>
      <c r="I990" s="202"/>
      <c r="O990" s="202"/>
      <c r="R990" s="202"/>
    </row>
    <row r="991" spans="3:18" ht="16.5">
      <c r="C991" s="202"/>
      <c r="D991" s="202"/>
      <c r="E991" s="199"/>
      <c r="F991" s="202"/>
      <c r="G991" s="202"/>
      <c r="H991" s="202"/>
      <c r="I991" s="202"/>
      <c r="O991" s="202"/>
      <c r="R991" s="202"/>
    </row>
    <row r="992" spans="3:18" ht="16.5">
      <c r="C992" s="202"/>
      <c r="D992" s="202"/>
      <c r="E992" s="199"/>
      <c r="F992" s="202"/>
      <c r="G992" s="202"/>
      <c r="H992" s="202"/>
      <c r="I992" s="202"/>
      <c r="O992" s="202"/>
      <c r="R992" s="202"/>
    </row>
    <row r="993" spans="3:18" ht="16.5">
      <c r="C993" s="202"/>
      <c r="D993" s="202"/>
      <c r="E993" s="199"/>
      <c r="F993" s="202"/>
      <c r="G993" s="202"/>
      <c r="H993" s="202"/>
      <c r="I993" s="202"/>
      <c r="O993" s="202"/>
      <c r="R993" s="202"/>
    </row>
    <row r="994" spans="3:18" ht="16.5">
      <c r="C994" s="202"/>
      <c r="D994" s="202"/>
      <c r="E994" s="199"/>
      <c r="F994" s="202"/>
      <c r="G994" s="202"/>
      <c r="H994" s="202"/>
      <c r="I994" s="202"/>
      <c r="O994" s="202"/>
      <c r="R994" s="202"/>
    </row>
    <row r="995" spans="3:18" ht="16.5">
      <c r="C995" s="202"/>
      <c r="D995" s="202"/>
      <c r="E995" s="199"/>
      <c r="F995" s="202"/>
      <c r="G995" s="202"/>
      <c r="H995" s="202"/>
      <c r="I995" s="202"/>
      <c r="O995" s="202"/>
      <c r="R995" s="202"/>
    </row>
    <row r="996" spans="3:18" ht="16.5">
      <c r="C996" s="202"/>
      <c r="D996" s="202"/>
      <c r="E996" s="199"/>
      <c r="F996" s="202"/>
      <c r="G996" s="202"/>
      <c r="H996" s="202"/>
      <c r="I996" s="202"/>
      <c r="O996" s="202"/>
      <c r="R996" s="202"/>
    </row>
    <row r="997" spans="3:18" ht="16.5">
      <c r="C997" s="202"/>
      <c r="D997" s="202"/>
      <c r="E997" s="199"/>
      <c r="F997" s="202"/>
      <c r="G997" s="202"/>
      <c r="H997" s="202"/>
      <c r="I997" s="202"/>
      <c r="O997" s="202"/>
      <c r="R997" s="202"/>
    </row>
    <row r="998" spans="3:18" ht="16.5">
      <c r="C998" s="202"/>
      <c r="D998" s="202"/>
      <c r="E998" s="199"/>
      <c r="F998" s="202"/>
      <c r="G998" s="202"/>
      <c r="H998" s="202"/>
      <c r="I998" s="202"/>
      <c r="O998" s="202"/>
      <c r="R998" s="202"/>
    </row>
    <row r="999" spans="3:18" ht="16.5">
      <c r="C999" s="202"/>
      <c r="D999" s="202"/>
      <c r="E999" s="199"/>
      <c r="F999" s="202"/>
      <c r="G999" s="202"/>
      <c r="H999" s="202"/>
      <c r="I999" s="202"/>
      <c r="O999" s="202"/>
      <c r="R999" s="202"/>
    </row>
    <row r="1000" spans="3:18" ht="16.5">
      <c r="C1000" s="202"/>
      <c r="D1000" s="202"/>
      <c r="E1000" s="199"/>
      <c r="F1000" s="202"/>
      <c r="G1000" s="202"/>
      <c r="H1000" s="202"/>
      <c r="I1000" s="202"/>
      <c r="O1000" s="202"/>
      <c r="R1000" s="202"/>
    </row>
    <row r="1001" spans="3:18" ht="16.5">
      <c r="C1001" s="202"/>
      <c r="D1001" s="202"/>
      <c r="E1001" s="199"/>
      <c r="F1001" s="202"/>
      <c r="G1001" s="202"/>
      <c r="H1001" s="202"/>
      <c r="I1001" s="202"/>
      <c r="O1001" s="202"/>
      <c r="R1001" s="202"/>
    </row>
    <row r="1002" spans="3:18" ht="16.5">
      <c r="C1002" s="202"/>
      <c r="D1002" s="202"/>
      <c r="E1002" s="199"/>
      <c r="F1002" s="202"/>
      <c r="G1002" s="202"/>
      <c r="H1002" s="202"/>
      <c r="I1002" s="202"/>
      <c r="O1002" s="202"/>
      <c r="R1002" s="202"/>
    </row>
    <row r="1003" spans="3:18" ht="16.5">
      <c r="C1003" s="202"/>
      <c r="D1003" s="202"/>
      <c r="E1003" s="199"/>
      <c r="F1003" s="202"/>
      <c r="G1003" s="202"/>
      <c r="H1003" s="202"/>
      <c r="I1003" s="202"/>
      <c r="O1003" s="202"/>
      <c r="R1003" s="202"/>
    </row>
    <row r="1004" spans="3:18" ht="16.5">
      <c r="C1004" s="202"/>
      <c r="D1004" s="202"/>
      <c r="E1004" s="199"/>
      <c r="F1004" s="202"/>
      <c r="G1004" s="202"/>
      <c r="H1004" s="202"/>
      <c r="I1004" s="202"/>
      <c r="O1004" s="202"/>
      <c r="R1004" s="202"/>
    </row>
    <row r="1005" spans="3:18" ht="16.5">
      <c r="C1005" s="202"/>
      <c r="D1005" s="202"/>
      <c r="E1005" s="199"/>
      <c r="F1005" s="202"/>
      <c r="G1005" s="202"/>
      <c r="H1005" s="202"/>
      <c r="I1005" s="202"/>
      <c r="O1005" s="202"/>
      <c r="R1005" s="202"/>
    </row>
    <row r="1006" spans="3:18" ht="16.5">
      <c r="C1006" s="202"/>
      <c r="D1006" s="202"/>
      <c r="E1006" s="199"/>
      <c r="F1006" s="202"/>
      <c r="G1006" s="202"/>
      <c r="H1006" s="202"/>
      <c r="I1006" s="202"/>
      <c r="O1006" s="202"/>
      <c r="R1006" s="202"/>
    </row>
    <row r="1007" spans="3:18" ht="16.5">
      <c r="C1007" s="202"/>
      <c r="D1007" s="202"/>
      <c r="E1007" s="199"/>
      <c r="F1007" s="202"/>
      <c r="G1007" s="202"/>
      <c r="H1007" s="202"/>
      <c r="I1007" s="202"/>
      <c r="O1007" s="202"/>
      <c r="R1007" s="202"/>
    </row>
    <row r="1008" spans="3:18" ht="16.5">
      <c r="C1008" s="202"/>
      <c r="D1008" s="202"/>
      <c r="E1008" s="199"/>
      <c r="F1008" s="202"/>
      <c r="G1008" s="202"/>
      <c r="H1008" s="202"/>
      <c r="I1008" s="202"/>
      <c r="O1008" s="202"/>
      <c r="R1008" s="202"/>
    </row>
    <row r="1009" spans="3:18" ht="16.5">
      <c r="C1009" s="202"/>
      <c r="D1009" s="202"/>
      <c r="E1009" s="199"/>
      <c r="F1009" s="202"/>
      <c r="G1009" s="202"/>
      <c r="H1009" s="202"/>
      <c r="I1009" s="202"/>
      <c r="O1009" s="202"/>
      <c r="R1009" s="202"/>
    </row>
    <row r="1010" spans="3:18" ht="16.5">
      <c r="C1010" s="202"/>
      <c r="D1010" s="202"/>
      <c r="E1010" s="199"/>
      <c r="F1010" s="202"/>
      <c r="G1010" s="202"/>
      <c r="H1010" s="202"/>
      <c r="I1010" s="202"/>
      <c r="O1010" s="202"/>
      <c r="R1010" s="202"/>
    </row>
    <row r="1011" spans="3:18" ht="16.5">
      <c r="C1011" s="202"/>
      <c r="D1011" s="202"/>
      <c r="E1011" s="199"/>
      <c r="F1011" s="202"/>
      <c r="G1011" s="202"/>
      <c r="H1011" s="202"/>
      <c r="I1011" s="202"/>
      <c r="O1011" s="202"/>
      <c r="R1011" s="202"/>
    </row>
    <row r="1012" spans="3:18" ht="16.5">
      <c r="C1012" s="202"/>
      <c r="D1012" s="202"/>
      <c r="E1012" s="199"/>
      <c r="F1012" s="202"/>
      <c r="G1012" s="202"/>
      <c r="H1012" s="202"/>
      <c r="I1012" s="202"/>
      <c r="O1012" s="202"/>
      <c r="R1012" s="202"/>
    </row>
    <row r="1013" spans="3:18" ht="16.5">
      <c r="C1013" s="202"/>
      <c r="D1013" s="202"/>
      <c r="E1013" s="199"/>
      <c r="F1013" s="202"/>
      <c r="G1013" s="202"/>
      <c r="H1013" s="202"/>
      <c r="I1013" s="202"/>
      <c r="O1013" s="202"/>
      <c r="R1013" s="202"/>
    </row>
    <row r="1014" spans="3:18" ht="16.5">
      <c r="C1014" s="202"/>
      <c r="D1014" s="202"/>
      <c r="E1014" s="199"/>
      <c r="F1014" s="202"/>
      <c r="G1014" s="202"/>
      <c r="H1014" s="202"/>
      <c r="I1014" s="202"/>
      <c r="O1014" s="202"/>
      <c r="R1014" s="202"/>
    </row>
    <row r="1015" spans="3:18" ht="16.5">
      <c r="C1015" s="202"/>
      <c r="D1015" s="202"/>
      <c r="E1015" s="199"/>
      <c r="F1015" s="202"/>
      <c r="G1015" s="202"/>
      <c r="H1015" s="202"/>
      <c r="I1015" s="202"/>
      <c r="O1015" s="202"/>
      <c r="R1015" s="202"/>
    </row>
    <row r="1016" spans="3:18" ht="16.5">
      <c r="C1016" s="202"/>
      <c r="D1016" s="202"/>
      <c r="E1016" s="199"/>
      <c r="F1016" s="202"/>
      <c r="G1016" s="202"/>
      <c r="H1016" s="202"/>
      <c r="I1016" s="202"/>
      <c r="O1016" s="202"/>
      <c r="R1016" s="202"/>
    </row>
    <row r="1017" spans="3:18" ht="16.5">
      <c r="C1017" s="202"/>
      <c r="D1017" s="202"/>
      <c r="E1017" s="199"/>
      <c r="F1017" s="202"/>
      <c r="G1017" s="202"/>
      <c r="H1017" s="202"/>
      <c r="I1017" s="202"/>
      <c r="O1017" s="202"/>
      <c r="R1017" s="202"/>
    </row>
    <row r="1018" spans="3:18" ht="16.5">
      <c r="C1018" s="202"/>
      <c r="D1018" s="202"/>
      <c r="E1018" s="199"/>
      <c r="F1018" s="202"/>
      <c r="G1018" s="202"/>
      <c r="H1018" s="202"/>
      <c r="I1018" s="202"/>
      <c r="O1018" s="202"/>
      <c r="R1018" s="202"/>
    </row>
    <row r="1019" spans="3:18" ht="16.5">
      <c r="C1019" s="202"/>
      <c r="D1019" s="202"/>
      <c r="E1019" s="199"/>
      <c r="F1019" s="202"/>
      <c r="G1019" s="202"/>
      <c r="H1019" s="202"/>
      <c r="I1019" s="202"/>
      <c r="O1019" s="202"/>
      <c r="R1019" s="202"/>
    </row>
    <row r="1020" spans="3:18" ht="16.5">
      <c r="C1020" s="202"/>
      <c r="D1020" s="202"/>
      <c r="E1020" s="199"/>
      <c r="F1020" s="202"/>
      <c r="G1020" s="202"/>
      <c r="H1020" s="202"/>
      <c r="I1020" s="202"/>
      <c r="O1020" s="202"/>
      <c r="R1020" s="202"/>
    </row>
    <row r="1021" spans="3:18" ht="16.5">
      <c r="C1021" s="202"/>
      <c r="D1021" s="202"/>
      <c r="E1021" s="199"/>
      <c r="F1021" s="202"/>
      <c r="G1021" s="202"/>
      <c r="H1021" s="202"/>
      <c r="I1021" s="202"/>
      <c r="O1021" s="202"/>
      <c r="R1021" s="202"/>
    </row>
    <row r="1022" spans="3:18" ht="16.5">
      <c r="C1022" s="202"/>
      <c r="D1022" s="202"/>
      <c r="E1022" s="199"/>
      <c r="F1022" s="202"/>
      <c r="G1022" s="202"/>
      <c r="H1022" s="202"/>
      <c r="I1022" s="202"/>
      <c r="O1022" s="202"/>
      <c r="R1022" s="202"/>
    </row>
    <row r="1023" spans="3:18" ht="16.5">
      <c r="C1023" s="202"/>
      <c r="D1023" s="202"/>
      <c r="E1023" s="199"/>
      <c r="F1023" s="202"/>
      <c r="G1023" s="202"/>
      <c r="H1023" s="202"/>
      <c r="I1023" s="202"/>
      <c r="O1023" s="202"/>
      <c r="R1023" s="202"/>
    </row>
    <row r="1024" spans="3:18" ht="16.5">
      <c r="C1024" s="202"/>
      <c r="D1024" s="202"/>
      <c r="E1024" s="199"/>
      <c r="F1024" s="202"/>
      <c r="G1024" s="202"/>
      <c r="H1024" s="202"/>
      <c r="I1024" s="202"/>
      <c r="O1024" s="202"/>
      <c r="R1024" s="202"/>
    </row>
    <row r="1025" spans="3:18" ht="16.5">
      <c r="C1025" s="202"/>
      <c r="D1025" s="202"/>
      <c r="E1025" s="199"/>
      <c r="F1025" s="202"/>
      <c r="G1025" s="202"/>
      <c r="H1025" s="202"/>
      <c r="I1025" s="202"/>
      <c r="O1025" s="202"/>
      <c r="R1025" s="202"/>
    </row>
    <row r="1026" spans="3:18" ht="16.5">
      <c r="C1026" s="202"/>
      <c r="D1026" s="202"/>
      <c r="E1026" s="199"/>
      <c r="F1026" s="202"/>
      <c r="G1026" s="202"/>
      <c r="H1026" s="202"/>
      <c r="I1026" s="202"/>
      <c r="O1026" s="202"/>
      <c r="R1026" s="202"/>
    </row>
    <row r="1027" spans="3:18" ht="16.5">
      <c r="C1027" s="202"/>
      <c r="D1027" s="202"/>
      <c r="E1027" s="199"/>
      <c r="F1027" s="202"/>
      <c r="G1027" s="202"/>
      <c r="H1027" s="202"/>
      <c r="I1027" s="202"/>
      <c r="O1027" s="202"/>
      <c r="R1027" s="202"/>
    </row>
    <row r="1028" spans="3:18" ht="16.5">
      <c r="C1028" s="202"/>
      <c r="D1028" s="202"/>
      <c r="E1028" s="199"/>
      <c r="F1028" s="202"/>
      <c r="G1028" s="202"/>
      <c r="H1028" s="202"/>
      <c r="I1028" s="202"/>
      <c r="O1028" s="202"/>
      <c r="R1028" s="202"/>
    </row>
    <row r="1029" spans="3:18" ht="16.5">
      <c r="C1029" s="202"/>
      <c r="D1029" s="202"/>
      <c r="E1029" s="199"/>
      <c r="F1029" s="202"/>
      <c r="G1029" s="202"/>
      <c r="H1029" s="202"/>
      <c r="I1029" s="202"/>
      <c r="O1029" s="202"/>
      <c r="R1029" s="202"/>
    </row>
    <row r="1030" spans="3:18" ht="16.5">
      <c r="C1030" s="202"/>
      <c r="D1030" s="202"/>
      <c r="E1030" s="199"/>
      <c r="F1030" s="202"/>
      <c r="G1030" s="202"/>
      <c r="H1030" s="202"/>
      <c r="I1030" s="202"/>
      <c r="O1030" s="202"/>
      <c r="R1030" s="202"/>
    </row>
    <row r="1031" spans="3:18" ht="16.5">
      <c r="C1031" s="202"/>
      <c r="D1031" s="202"/>
      <c r="E1031" s="199"/>
      <c r="F1031" s="202"/>
      <c r="G1031" s="202"/>
      <c r="H1031" s="202"/>
      <c r="I1031" s="202"/>
      <c r="O1031" s="202"/>
      <c r="R1031" s="202"/>
    </row>
    <row r="1032" spans="3:18" ht="16.5">
      <c r="C1032" s="202"/>
      <c r="D1032" s="202"/>
      <c r="E1032" s="199"/>
      <c r="F1032" s="202"/>
      <c r="G1032" s="202"/>
      <c r="H1032" s="202"/>
      <c r="I1032" s="202"/>
      <c r="O1032" s="202"/>
      <c r="R1032" s="202"/>
    </row>
    <row r="1033" spans="3:18" ht="16.5">
      <c r="C1033" s="202"/>
      <c r="D1033" s="202"/>
      <c r="E1033" s="199"/>
      <c r="F1033" s="202"/>
      <c r="G1033" s="202"/>
      <c r="H1033" s="202"/>
      <c r="I1033" s="202"/>
      <c r="O1033" s="202"/>
      <c r="R1033" s="202"/>
    </row>
    <row r="1034" spans="3:18" ht="16.5">
      <c r="C1034" s="202"/>
      <c r="D1034" s="202"/>
      <c r="E1034" s="199"/>
      <c r="F1034" s="202"/>
      <c r="G1034" s="202"/>
      <c r="H1034" s="202"/>
      <c r="I1034" s="202"/>
      <c r="O1034" s="202"/>
      <c r="R1034" s="202"/>
    </row>
    <row r="1035" spans="3:18" ht="16.5">
      <c r="C1035" s="202"/>
      <c r="D1035" s="202"/>
      <c r="E1035" s="199"/>
      <c r="F1035" s="202"/>
      <c r="G1035" s="202"/>
      <c r="H1035" s="202"/>
      <c r="I1035" s="202"/>
      <c r="O1035" s="202"/>
      <c r="R1035" s="202"/>
    </row>
    <row r="1036" spans="3:18" ht="16.5">
      <c r="C1036" s="202"/>
      <c r="D1036" s="202"/>
      <c r="E1036" s="199"/>
      <c r="F1036" s="202"/>
      <c r="G1036" s="202"/>
      <c r="H1036" s="202"/>
      <c r="I1036" s="202"/>
      <c r="O1036" s="202"/>
      <c r="R1036" s="202"/>
    </row>
    <row r="1037" spans="3:18" ht="16.5">
      <c r="C1037" s="202"/>
      <c r="D1037" s="202"/>
      <c r="E1037" s="199"/>
      <c r="F1037" s="202"/>
      <c r="G1037" s="202"/>
      <c r="H1037" s="202"/>
      <c r="I1037" s="202"/>
      <c r="O1037" s="202"/>
      <c r="R1037" s="202"/>
    </row>
    <row r="1038" spans="3:18" ht="16.5">
      <c r="C1038" s="202"/>
      <c r="D1038" s="202"/>
      <c r="E1038" s="199"/>
      <c r="F1038" s="202"/>
      <c r="G1038" s="202"/>
      <c r="H1038" s="202"/>
      <c r="I1038" s="202"/>
      <c r="O1038" s="202"/>
      <c r="R1038" s="202"/>
    </row>
    <row r="1039" spans="3:18" ht="16.5">
      <c r="C1039" s="202"/>
      <c r="D1039" s="202"/>
      <c r="E1039" s="199"/>
      <c r="F1039" s="202"/>
      <c r="G1039" s="202"/>
      <c r="H1039" s="202"/>
      <c r="I1039" s="202"/>
      <c r="O1039" s="202"/>
      <c r="R1039" s="202"/>
    </row>
    <row r="1040" spans="3:18" ht="16.5">
      <c r="C1040" s="202"/>
      <c r="D1040" s="202"/>
      <c r="E1040" s="199"/>
      <c r="F1040" s="202"/>
      <c r="G1040" s="202"/>
      <c r="H1040" s="202"/>
      <c r="I1040" s="202"/>
      <c r="O1040" s="202"/>
      <c r="R1040" s="202"/>
    </row>
    <row r="1041" spans="3:18" ht="16.5">
      <c r="C1041" s="202"/>
      <c r="D1041" s="202"/>
      <c r="E1041" s="199"/>
      <c r="F1041" s="202"/>
      <c r="G1041" s="202"/>
      <c r="H1041" s="202"/>
      <c r="I1041" s="202"/>
      <c r="O1041" s="202"/>
      <c r="R1041" s="202"/>
    </row>
    <row r="1042" spans="3:18" ht="16.5">
      <c r="C1042" s="202"/>
      <c r="D1042" s="202"/>
      <c r="E1042" s="199"/>
      <c r="F1042" s="202"/>
      <c r="G1042" s="202"/>
      <c r="H1042" s="202"/>
      <c r="I1042" s="202"/>
      <c r="O1042" s="202"/>
      <c r="R1042" s="202"/>
    </row>
    <row r="1043" spans="3:18" ht="16.5">
      <c r="C1043" s="202"/>
      <c r="D1043" s="202"/>
      <c r="E1043" s="199"/>
      <c r="F1043" s="202"/>
      <c r="G1043" s="202"/>
      <c r="H1043" s="202"/>
      <c r="I1043" s="202"/>
      <c r="O1043" s="202"/>
      <c r="R1043" s="202"/>
    </row>
    <row r="1044" spans="3:18" ht="16.5">
      <c r="C1044" s="202"/>
      <c r="D1044" s="202"/>
      <c r="E1044" s="199"/>
      <c r="F1044" s="202"/>
      <c r="G1044" s="202"/>
      <c r="H1044" s="202"/>
      <c r="I1044" s="202"/>
      <c r="O1044" s="202"/>
      <c r="R1044" s="202"/>
    </row>
    <row r="1045" spans="3:18" ht="16.5">
      <c r="C1045" s="202"/>
      <c r="D1045" s="202"/>
      <c r="E1045" s="199"/>
      <c r="F1045" s="202"/>
      <c r="G1045" s="202"/>
      <c r="H1045" s="202"/>
      <c r="I1045" s="202"/>
      <c r="O1045" s="202"/>
      <c r="R1045" s="202"/>
    </row>
    <row r="1046" spans="3:18" ht="16.5">
      <c r="C1046" s="202"/>
      <c r="D1046" s="202"/>
      <c r="E1046" s="199"/>
      <c r="F1046" s="202"/>
      <c r="G1046" s="202"/>
      <c r="H1046" s="202"/>
      <c r="I1046" s="202"/>
      <c r="O1046" s="202"/>
      <c r="R1046" s="202"/>
    </row>
    <row r="1047" spans="3:18" ht="16.5">
      <c r="C1047" s="202"/>
      <c r="D1047" s="202"/>
      <c r="E1047" s="199"/>
      <c r="F1047" s="202"/>
      <c r="G1047" s="202"/>
      <c r="H1047" s="202"/>
      <c r="I1047" s="202"/>
      <c r="O1047" s="202"/>
      <c r="R1047" s="202"/>
    </row>
    <row r="1048" spans="3:18" ht="16.5">
      <c r="C1048" s="202"/>
      <c r="D1048" s="202"/>
      <c r="E1048" s="199"/>
      <c r="F1048" s="202"/>
      <c r="G1048" s="202"/>
      <c r="H1048" s="202"/>
      <c r="I1048" s="202"/>
      <c r="O1048" s="202"/>
      <c r="R1048" s="202"/>
    </row>
    <row r="1049" spans="3:18" ht="16.5">
      <c r="C1049" s="202"/>
      <c r="D1049" s="202"/>
      <c r="E1049" s="199"/>
      <c r="F1049" s="202"/>
      <c r="G1049" s="202"/>
      <c r="H1049" s="202"/>
      <c r="I1049" s="202"/>
      <c r="O1049" s="202"/>
      <c r="R1049" s="202"/>
    </row>
    <row r="1050" spans="3:18" ht="16.5">
      <c r="C1050" s="202"/>
      <c r="D1050" s="202"/>
      <c r="E1050" s="199"/>
      <c r="F1050" s="202"/>
      <c r="G1050" s="202"/>
      <c r="H1050" s="202"/>
      <c r="I1050" s="202"/>
      <c r="O1050" s="202"/>
      <c r="R1050" s="202"/>
    </row>
    <row r="1051" spans="3:18" ht="16.5">
      <c r="C1051" s="202"/>
      <c r="D1051" s="202"/>
      <c r="E1051" s="199"/>
      <c r="F1051" s="202"/>
      <c r="G1051" s="202"/>
      <c r="H1051" s="202"/>
      <c r="I1051" s="202"/>
      <c r="O1051" s="202"/>
      <c r="R1051" s="202"/>
    </row>
    <row r="1052" spans="3:18" ht="16.5">
      <c r="C1052" s="202"/>
      <c r="D1052" s="202"/>
      <c r="E1052" s="199"/>
      <c r="F1052" s="202"/>
      <c r="G1052" s="202"/>
      <c r="H1052" s="202"/>
      <c r="I1052" s="202"/>
      <c r="O1052" s="202"/>
      <c r="R1052" s="202"/>
    </row>
    <row r="1053" spans="3:18" ht="16.5">
      <c r="C1053" s="202"/>
      <c r="D1053" s="202"/>
      <c r="E1053" s="199"/>
      <c r="F1053" s="202"/>
      <c r="G1053" s="202"/>
      <c r="H1053" s="202"/>
      <c r="I1053" s="202"/>
      <c r="O1053" s="202"/>
      <c r="R1053" s="202"/>
    </row>
    <row r="1054" spans="3:18" ht="16.5">
      <c r="C1054" s="202"/>
      <c r="D1054" s="202"/>
      <c r="E1054" s="199"/>
      <c r="F1054" s="202"/>
      <c r="G1054" s="202"/>
      <c r="H1054" s="202"/>
      <c r="I1054" s="202"/>
      <c r="O1054" s="202"/>
      <c r="R1054" s="202"/>
    </row>
    <row r="1055" spans="3:18" ht="16.5">
      <c r="C1055" s="202"/>
      <c r="D1055" s="202"/>
      <c r="E1055" s="199"/>
      <c r="F1055" s="202"/>
      <c r="G1055" s="202"/>
      <c r="H1055" s="202"/>
      <c r="I1055" s="202"/>
      <c r="O1055" s="202"/>
      <c r="R1055" s="202"/>
    </row>
    <row r="1056" spans="3:18" ht="16.5">
      <c r="C1056" s="202"/>
      <c r="D1056" s="202"/>
      <c r="E1056" s="199"/>
      <c r="F1056" s="202"/>
      <c r="G1056" s="202"/>
      <c r="H1056" s="202"/>
      <c r="I1056" s="202"/>
      <c r="O1056" s="202"/>
      <c r="R1056" s="202"/>
    </row>
    <row r="1057" spans="3:18" ht="16.5">
      <c r="C1057" s="202"/>
      <c r="D1057" s="202"/>
      <c r="E1057" s="199"/>
      <c r="F1057" s="202"/>
      <c r="G1057" s="202"/>
      <c r="H1057" s="202"/>
      <c r="I1057" s="202"/>
      <c r="O1057" s="202"/>
      <c r="R1057" s="202"/>
    </row>
    <row r="1058" spans="3:18" ht="16.5">
      <c r="C1058" s="202"/>
      <c r="D1058" s="202"/>
      <c r="E1058" s="199"/>
      <c r="F1058" s="202"/>
      <c r="G1058" s="202"/>
      <c r="H1058" s="202"/>
      <c r="I1058" s="202"/>
      <c r="O1058" s="202"/>
      <c r="R1058" s="202"/>
    </row>
    <row r="1059" spans="3:18" ht="16.5">
      <c r="C1059" s="202"/>
      <c r="D1059" s="202"/>
      <c r="E1059" s="199"/>
      <c r="F1059" s="202"/>
      <c r="G1059" s="202"/>
      <c r="H1059" s="202"/>
      <c r="I1059" s="202"/>
      <c r="O1059" s="202"/>
      <c r="R1059" s="202"/>
    </row>
    <row r="1060" spans="3:18" ht="16.5">
      <c r="C1060" s="202"/>
      <c r="D1060" s="202"/>
      <c r="E1060" s="199"/>
      <c r="F1060" s="202"/>
      <c r="G1060" s="202"/>
      <c r="H1060" s="202"/>
      <c r="I1060" s="202"/>
      <c r="O1060" s="202"/>
      <c r="R1060" s="202"/>
    </row>
    <row r="1061" spans="3:18" ht="16.5">
      <c r="C1061" s="202"/>
      <c r="D1061" s="202"/>
      <c r="E1061" s="199"/>
      <c r="F1061" s="202"/>
      <c r="G1061" s="202"/>
      <c r="H1061" s="202"/>
      <c r="I1061" s="202"/>
      <c r="O1061" s="202"/>
      <c r="R1061" s="202"/>
    </row>
    <row r="1062" spans="3:18" ht="16.5">
      <c r="C1062" s="202"/>
      <c r="D1062" s="202"/>
      <c r="E1062" s="199"/>
      <c r="F1062" s="202"/>
      <c r="G1062" s="202"/>
      <c r="H1062" s="202"/>
      <c r="I1062" s="202"/>
      <c r="O1062" s="202"/>
      <c r="R1062" s="202"/>
    </row>
    <row r="1063" spans="3:18" ht="16.5">
      <c r="C1063" s="202"/>
      <c r="D1063" s="202"/>
      <c r="E1063" s="199"/>
      <c r="F1063" s="202"/>
      <c r="G1063" s="202"/>
      <c r="H1063" s="202"/>
      <c r="I1063" s="202"/>
      <c r="O1063" s="202"/>
      <c r="R1063" s="202"/>
    </row>
    <row r="1064" spans="3:18" ht="16.5">
      <c r="C1064" s="202"/>
      <c r="D1064" s="202"/>
      <c r="E1064" s="199"/>
      <c r="F1064" s="202"/>
      <c r="G1064" s="202"/>
      <c r="H1064" s="202"/>
      <c r="I1064" s="202"/>
      <c r="O1064" s="202"/>
      <c r="R1064" s="202"/>
    </row>
    <row r="1065" spans="3:18" ht="16.5">
      <c r="C1065" s="202"/>
      <c r="D1065" s="202"/>
      <c r="E1065" s="199"/>
      <c r="F1065" s="202"/>
      <c r="G1065" s="202"/>
      <c r="H1065" s="202"/>
      <c r="I1065" s="202"/>
      <c r="O1065" s="202"/>
      <c r="R1065" s="202"/>
    </row>
    <row r="1066" spans="3:18" ht="16.5">
      <c r="C1066" s="202"/>
      <c r="D1066" s="202"/>
      <c r="E1066" s="199"/>
      <c r="F1066" s="202"/>
      <c r="G1066" s="202"/>
      <c r="H1066" s="202"/>
      <c r="I1066" s="202"/>
      <c r="O1066" s="202"/>
      <c r="R1066" s="202"/>
    </row>
    <row r="1067" spans="3:18" ht="16.5">
      <c r="C1067" s="202"/>
      <c r="D1067" s="202"/>
      <c r="E1067" s="199"/>
      <c r="F1067" s="202"/>
      <c r="G1067" s="202"/>
      <c r="H1067" s="202"/>
      <c r="I1067" s="202"/>
      <c r="O1067" s="202"/>
      <c r="R1067" s="202"/>
    </row>
    <row r="1068" spans="3:18" ht="16.5">
      <c r="C1068" s="202"/>
      <c r="D1068" s="202"/>
      <c r="E1068" s="199"/>
      <c r="F1068" s="202"/>
      <c r="G1068" s="202"/>
      <c r="H1068" s="202"/>
      <c r="I1068" s="202"/>
      <c r="O1068" s="202"/>
      <c r="R1068" s="202"/>
    </row>
    <row r="1069" spans="3:18" ht="16.5">
      <c r="C1069" s="202"/>
      <c r="D1069" s="202"/>
      <c r="E1069" s="199"/>
      <c r="F1069" s="202"/>
      <c r="G1069" s="202"/>
      <c r="H1069" s="202"/>
      <c r="I1069" s="202"/>
      <c r="O1069" s="202"/>
      <c r="R1069" s="202"/>
    </row>
    <row r="1070" spans="3:18" ht="16.5">
      <c r="C1070" s="202"/>
      <c r="D1070" s="202"/>
      <c r="E1070" s="199"/>
      <c r="F1070" s="202"/>
      <c r="G1070" s="202"/>
      <c r="H1070" s="202"/>
      <c r="I1070" s="202"/>
      <c r="O1070" s="202"/>
      <c r="R1070" s="202"/>
    </row>
    <row r="1071" spans="3:18" ht="16.5">
      <c r="C1071" s="202"/>
      <c r="D1071" s="202"/>
      <c r="E1071" s="199"/>
      <c r="F1071" s="202"/>
      <c r="G1071" s="202"/>
      <c r="H1071" s="202"/>
      <c r="I1071" s="202"/>
      <c r="O1071" s="202"/>
      <c r="R1071" s="202"/>
    </row>
    <row r="1072" spans="3:18" ht="16.5">
      <c r="C1072" s="202"/>
      <c r="D1072" s="202"/>
      <c r="E1072" s="199"/>
      <c r="F1072" s="202"/>
      <c r="G1072" s="202"/>
      <c r="H1072" s="202"/>
      <c r="I1072" s="202"/>
      <c r="O1072" s="202"/>
      <c r="R1072" s="202"/>
    </row>
    <row r="1073" spans="3:18" ht="16.5">
      <c r="C1073" s="202"/>
      <c r="D1073" s="202"/>
      <c r="E1073" s="199"/>
      <c r="F1073" s="202"/>
      <c r="G1073" s="202"/>
      <c r="H1073" s="202"/>
      <c r="I1073" s="202"/>
      <c r="O1073" s="202"/>
      <c r="R1073" s="202"/>
    </row>
    <row r="1074" spans="3:18" ht="16.5">
      <c r="C1074" s="202"/>
      <c r="D1074" s="202"/>
      <c r="E1074" s="199"/>
      <c r="F1074" s="202"/>
      <c r="G1074" s="202"/>
      <c r="H1074" s="202"/>
      <c r="I1074" s="202"/>
      <c r="O1074" s="202"/>
      <c r="R1074" s="202"/>
    </row>
    <row r="1075" spans="3:18" ht="16.5">
      <c r="C1075" s="202"/>
      <c r="D1075" s="202"/>
      <c r="E1075" s="199"/>
      <c r="F1075" s="202"/>
      <c r="G1075" s="202"/>
      <c r="H1075" s="202"/>
      <c r="I1075" s="202"/>
      <c r="O1075" s="202"/>
      <c r="R1075" s="202"/>
    </row>
    <row r="1076" spans="3:18" ht="16.5">
      <c r="C1076" s="202"/>
      <c r="D1076" s="202"/>
      <c r="E1076" s="199"/>
      <c r="F1076" s="202"/>
      <c r="G1076" s="202"/>
      <c r="H1076" s="202"/>
      <c r="I1076" s="202"/>
      <c r="O1076" s="202"/>
      <c r="R1076" s="202"/>
    </row>
    <row r="1077" spans="3:18" ht="16.5">
      <c r="C1077" s="202"/>
      <c r="D1077" s="202"/>
      <c r="E1077" s="199"/>
      <c r="F1077" s="202"/>
      <c r="G1077" s="202"/>
      <c r="H1077" s="202"/>
      <c r="I1077" s="202"/>
      <c r="O1077" s="202"/>
      <c r="R1077" s="202"/>
    </row>
    <row r="1078" spans="3:18" ht="16.5">
      <c r="C1078" s="202"/>
      <c r="D1078" s="202"/>
      <c r="E1078" s="199"/>
      <c r="F1078" s="202"/>
      <c r="G1078" s="202"/>
      <c r="H1078" s="202"/>
      <c r="I1078" s="202"/>
      <c r="O1078" s="202"/>
      <c r="R1078" s="202"/>
    </row>
    <row r="1079" spans="3:18" ht="16.5">
      <c r="C1079" s="202"/>
      <c r="D1079" s="202"/>
      <c r="E1079" s="199"/>
      <c r="F1079" s="202"/>
      <c r="G1079" s="202"/>
      <c r="H1079" s="202"/>
      <c r="I1079" s="202"/>
      <c r="O1079" s="202"/>
      <c r="R1079" s="202"/>
    </row>
    <row r="1080" spans="3:18" ht="16.5">
      <c r="C1080" s="202"/>
      <c r="D1080" s="202"/>
      <c r="E1080" s="199"/>
      <c r="F1080" s="202"/>
      <c r="G1080" s="202"/>
      <c r="H1080" s="202"/>
      <c r="I1080" s="202"/>
      <c r="O1080" s="202"/>
      <c r="R1080" s="202"/>
    </row>
    <row r="1081" spans="3:18" ht="16.5">
      <c r="C1081" s="202"/>
      <c r="D1081" s="202"/>
      <c r="E1081" s="199"/>
      <c r="F1081" s="202"/>
      <c r="G1081" s="202"/>
      <c r="H1081" s="202"/>
      <c r="I1081" s="202"/>
      <c r="O1081" s="202"/>
      <c r="R1081" s="202"/>
    </row>
    <row r="1082" spans="3:18" ht="16.5">
      <c r="C1082" s="202"/>
      <c r="D1082" s="202"/>
      <c r="E1082" s="199"/>
      <c r="F1082" s="202"/>
      <c r="G1082" s="202"/>
      <c r="H1082" s="202"/>
      <c r="I1082" s="202"/>
      <c r="O1082" s="202"/>
      <c r="R1082" s="202"/>
    </row>
    <row r="1083" spans="3:18" ht="16.5">
      <c r="C1083" s="202"/>
      <c r="D1083" s="202"/>
      <c r="E1083" s="199"/>
      <c r="F1083" s="202"/>
      <c r="G1083" s="202"/>
      <c r="H1083" s="202"/>
      <c r="I1083" s="202"/>
      <c r="O1083" s="202"/>
      <c r="R1083" s="202"/>
    </row>
    <row r="1084" spans="3:18" ht="16.5">
      <c r="C1084" s="202"/>
      <c r="D1084" s="202"/>
      <c r="E1084" s="199"/>
      <c r="F1084" s="202"/>
      <c r="G1084" s="202"/>
      <c r="H1084" s="202"/>
      <c r="I1084" s="202"/>
      <c r="O1084" s="202"/>
      <c r="R1084" s="202"/>
    </row>
    <row r="1085" spans="3:18" ht="16.5">
      <c r="C1085" s="202"/>
      <c r="D1085" s="202"/>
      <c r="E1085" s="199"/>
      <c r="F1085" s="202"/>
      <c r="G1085" s="202"/>
      <c r="H1085" s="202"/>
      <c r="I1085" s="202"/>
      <c r="O1085" s="202"/>
      <c r="R1085" s="202"/>
    </row>
    <row r="1086" spans="3:18" ht="16.5">
      <c r="C1086" s="202"/>
      <c r="D1086" s="202"/>
      <c r="E1086" s="199"/>
      <c r="F1086" s="202"/>
      <c r="G1086" s="202"/>
      <c r="H1086" s="202"/>
      <c r="I1086" s="202"/>
      <c r="O1086" s="202"/>
      <c r="R1086" s="202"/>
    </row>
    <row r="1087" spans="3:18" ht="16.5">
      <c r="C1087" s="202"/>
      <c r="D1087" s="202"/>
      <c r="E1087" s="199"/>
      <c r="F1087" s="202"/>
      <c r="G1087" s="202"/>
      <c r="H1087" s="202"/>
      <c r="I1087" s="202"/>
      <c r="O1087" s="202"/>
      <c r="R1087" s="202"/>
    </row>
    <row r="1088" spans="3:18" ht="16.5">
      <c r="C1088" s="202"/>
      <c r="D1088" s="202"/>
      <c r="E1088" s="199"/>
      <c r="F1088" s="202"/>
      <c r="G1088" s="202"/>
      <c r="H1088" s="202"/>
      <c r="I1088" s="202"/>
      <c r="O1088" s="202"/>
      <c r="R1088" s="202"/>
    </row>
    <row r="1089" spans="3:18" ht="16.5">
      <c r="C1089" s="202"/>
      <c r="D1089" s="202"/>
      <c r="E1089" s="199"/>
      <c r="F1089" s="202"/>
      <c r="G1089" s="202"/>
      <c r="H1089" s="202"/>
      <c r="I1089" s="202"/>
      <c r="O1089" s="202"/>
      <c r="R1089" s="202"/>
    </row>
    <row r="1090" spans="3:18" ht="16.5">
      <c r="C1090" s="202"/>
      <c r="D1090" s="202"/>
      <c r="E1090" s="199"/>
      <c r="F1090" s="202"/>
      <c r="G1090" s="202"/>
      <c r="H1090" s="202"/>
      <c r="I1090" s="202"/>
      <c r="O1090" s="202"/>
      <c r="R1090" s="202"/>
    </row>
    <row r="1091" spans="3:18" ht="16.5">
      <c r="C1091" s="202"/>
      <c r="D1091" s="202"/>
      <c r="E1091" s="199"/>
      <c r="F1091" s="202"/>
      <c r="G1091" s="202"/>
      <c r="H1091" s="202"/>
      <c r="I1091" s="202"/>
      <c r="O1091" s="202"/>
      <c r="R1091" s="202"/>
    </row>
    <row r="1092" spans="3:18" ht="16.5">
      <c r="C1092" s="202"/>
      <c r="D1092" s="202"/>
      <c r="E1092" s="199"/>
      <c r="F1092" s="202"/>
      <c r="G1092" s="202"/>
      <c r="H1092" s="202"/>
      <c r="I1092" s="202"/>
      <c r="O1092" s="202"/>
      <c r="R1092" s="202"/>
    </row>
    <row r="1093" spans="3:18" ht="16.5">
      <c r="C1093" s="202"/>
      <c r="D1093" s="202"/>
      <c r="E1093" s="199"/>
      <c r="F1093" s="202"/>
      <c r="G1093" s="202"/>
      <c r="H1093" s="202"/>
      <c r="I1093" s="202"/>
      <c r="O1093" s="202"/>
      <c r="R1093" s="202"/>
    </row>
    <row r="1094" spans="3:18" ht="16.5">
      <c r="C1094" s="202"/>
      <c r="D1094" s="202"/>
      <c r="E1094" s="199"/>
      <c r="F1094" s="202"/>
      <c r="G1094" s="202"/>
      <c r="H1094" s="202"/>
      <c r="I1094" s="202"/>
      <c r="O1094" s="202"/>
      <c r="R1094" s="202"/>
    </row>
    <row r="1095" spans="3:18" ht="16.5">
      <c r="C1095" s="202"/>
      <c r="D1095" s="202"/>
      <c r="E1095" s="199"/>
      <c r="F1095" s="202"/>
      <c r="G1095" s="202"/>
      <c r="H1095" s="202"/>
      <c r="I1095" s="202"/>
      <c r="O1095" s="202"/>
      <c r="R1095" s="202"/>
    </row>
    <row r="1096" spans="3:18" ht="16.5">
      <c r="C1096" s="202"/>
      <c r="D1096" s="202"/>
      <c r="E1096" s="199"/>
      <c r="F1096" s="202"/>
      <c r="G1096" s="202"/>
      <c r="H1096" s="202"/>
      <c r="I1096" s="202"/>
      <c r="O1096" s="202"/>
      <c r="R1096" s="202"/>
    </row>
    <row r="1097" spans="3:18" ht="16.5">
      <c r="C1097" s="202"/>
      <c r="D1097" s="202"/>
      <c r="E1097" s="199"/>
      <c r="F1097" s="202"/>
      <c r="G1097" s="202"/>
      <c r="H1097" s="202"/>
      <c r="I1097" s="202"/>
      <c r="O1097" s="202"/>
      <c r="R1097" s="202"/>
    </row>
    <row r="1098" spans="3:18" ht="16.5">
      <c r="C1098" s="202"/>
      <c r="D1098" s="202"/>
      <c r="E1098" s="199"/>
      <c r="F1098" s="202"/>
      <c r="G1098" s="202"/>
      <c r="H1098" s="202"/>
      <c r="I1098" s="202"/>
      <c r="O1098" s="202"/>
      <c r="R1098" s="202"/>
    </row>
    <row r="1099" spans="3:18" ht="16.5">
      <c r="C1099" s="202"/>
      <c r="D1099" s="202"/>
      <c r="E1099" s="199"/>
      <c r="F1099" s="202"/>
      <c r="G1099" s="202"/>
      <c r="H1099" s="202"/>
      <c r="I1099" s="202"/>
      <c r="O1099" s="202"/>
      <c r="R1099" s="202"/>
    </row>
    <row r="1100" spans="3:18" ht="16.5">
      <c r="C1100" s="202"/>
      <c r="D1100" s="202"/>
      <c r="E1100" s="199"/>
      <c r="F1100" s="202"/>
      <c r="G1100" s="202"/>
      <c r="H1100" s="202"/>
      <c r="I1100" s="202"/>
      <c r="O1100" s="202"/>
      <c r="R1100" s="202"/>
    </row>
    <row r="1101" spans="3:18" ht="16.5">
      <c r="C1101" s="202"/>
      <c r="D1101" s="202"/>
      <c r="E1101" s="199"/>
      <c r="F1101" s="202"/>
      <c r="G1101" s="202"/>
      <c r="H1101" s="202"/>
      <c r="I1101" s="202"/>
      <c r="O1101" s="202"/>
      <c r="R1101" s="202"/>
    </row>
    <row r="1102" spans="3:18" ht="16.5">
      <c r="C1102" s="202"/>
      <c r="D1102" s="202"/>
      <c r="E1102" s="199"/>
      <c r="F1102" s="202"/>
      <c r="G1102" s="202"/>
      <c r="H1102" s="202"/>
      <c r="I1102" s="202"/>
      <c r="O1102" s="202"/>
      <c r="R1102" s="202"/>
    </row>
    <row r="1103" spans="3:18" ht="16.5">
      <c r="C1103" s="202"/>
      <c r="D1103" s="202"/>
      <c r="E1103" s="199"/>
      <c r="F1103" s="202"/>
      <c r="G1103" s="202"/>
      <c r="H1103" s="202"/>
      <c r="I1103" s="202"/>
      <c r="O1103" s="202"/>
      <c r="R1103" s="202"/>
    </row>
    <row r="1104" spans="3:18" ht="16.5">
      <c r="C1104" s="202"/>
      <c r="D1104" s="202"/>
      <c r="E1104" s="199"/>
      <c r="F1104" s="202"/>
      <c r="G1104" s="202"/>
      <c r="H1104" s="202"/>
      <c r="I1104" s="202"/>
      <c r="O1104" s="202"/>
      <c r="R1104" s="202"/>
    </row>
    <row r="1105" spans="3:18" ht="16.5">
      <c r="C1105" s="202"/>
      <c r="D1105" s="202"/>
      <c r="E1105" s="199"/>
      <c r="F1105" s="202"/>
      <c r="G1105" s="202"/>
      <c r="H1105" s="202"/>
      <c r="I1105" s="202"/>
      <c r="O1105" s="202"/>
      <c r="R1105" s="202"/>
    </row>
    <row r="1106" spans="3:18" ht="16.5">
      <c r="C1106" s="202"/>
      <c r="D1106" s="202"/>
      <c r="E1106" s="199"/>
      <c r="F1106" s="202"/>
      <c r="G1106" s="202"/>
      <c r="H1106" s="202"/>
      <c r="I1106" s="202"/>
      <c r="O1106" s="202"/>
      <c r="R1106" s="202"/>
    </row>
    <row r="1107" spans="3:18" ht="16.5">
      <c r="C1107" s="202"/>
      <c r="D1107" s="202"/>
      <c r="E1107" s="199"/>
      <c r="F1107" s="202"/>
      <c r="G1107" s="202"/>
      <c r="H1107" s="202"/>
      <c r="I1107" s="202"/>
      <c r="O1107" s="202"/>
      <c r="R1107" s="202"/>
    </row>
    <row r="1108" spans="3:18" ht="16.5">
      <c r="C1108" s="202"/>
      <c r="D1108" s="202"/>
      <c r="E1108" s="199"/>
      <c r="F1108" s="202"/>
      <c r="G1108" s="202"/>
      <c r="H1108" s="202"/>
      <c r="I1108" s="202"/>
      <c r="O1108" s="202"/>
      <c r="R1108" s="202"/>
    </row>
    <row r="1109" spans="3:18" ht="16.5">
      <c r="C1109" s="202"/>
      <c r="D1109" s="202"/>
      <c r="E1109" s="199"/>
      <c r="F1109" s="202"/>
      <c r="G1109" s="202"/>
      <c r="H1109" s="202"/>
      <c r="I1109" s="202"/>
      <c r="O1109" s="202"/>
      <c r="R1109" s="202"/>
    </row>
    <row r="1110" spans="3:18" ht="16.5">
      <c r="C1110" s="202"/>
      <c r="D1110" s="202"/>
      <c r="E1110" s="199"/>
      <c r="F1110" s="202"/>
      <c r="G1110" s="202"/>
      <c r="H1110" s="202"/>
      <c r="I1110" s="202"/>
      <c r="O1110" s="202"/>
      <c r="R1110" s="202"/>
    </row>
    <row r="1111" spans="3:18" ht="16.5">
      <c r="C1111" s="202"/>
      <c r="D1111" s="202"/>
      <c r="E1111" s="199"/>
      <c r="F1111" s="202"/>
      <c r="G1111" s="202"/>
      <c r="H1111" s="202"/>
      <c r="I1111" s="202"/>
      <c r="O1111" s="202"/>
      <c r="R1111" s="202"/>
    </row>
    <row r="1112" spans="3:18" ht="16.5">
      <c r="C1112" s="202"/>
      <c r="D1112" s="202"/>
      <c r="E1112" s="199"/>
      <c r="F1112" s="202"/>
      <c r="G1112" s="202"/>
      <c r="H1112" s="202"/>
      <c r="I1112" s="202"/>
      <c r="O1112" s="202"/>
      <c r="R1112" s="202"/>
    </row>
    <row r="1113" spans="3:18" ht="16.5">
      <c r="C1113" s="202"/>
      <c r="D1113" s="202"/>
      <c r="E1113" s="199"/>
      <c r="F1113" s="202"/>
      <c r="G1113" s="202"/>
      <c r="H1113" s="202"/>
      <c r="I1113" s="202"/>
      <c r="O1113" s="202"/>
      <c r="R1113" s="202"/>
    </row>
    <row r="1114" spans="3:18" ht="16.5">
      <c r="C1114" s="202"/>
      <c r="D1114" s="202"/>
      <c r="E1114" s="199"/>
      <c r="F1114" s="202"/>
      <c r="G1114" s="202"/>
      <c r="H1114" s="202"/>
      <c r="I1114" s="202"/>
      <c r="O1114" s="202"/>
      <c r="R1114" s="202"/>
    </row>
    <row r="1115" spans="3:18" ht="16.5">
      <c r="C1115" s="202"/>
      <c r="D1115" s="202"/>
      <c r="E1115" s="199"/>
      <c r="F1115" s="202"/>
      <c r="G1115" s="202"/>
      <c r="H1115" s="202"/>
      <c r="I1115" s="202"/>
      <c r="O1115" s="202"/>
      <c r="R1115" s="202"/>
    </row>
    <row r="1116" spans="3:18" ht="16.5">
      <c r="C1116" s="202"/>
      <c r="D1116" s="202"/>
      <c r="E1116" s="199"/>
      <c r="F1116" s="202"/>
      <c r="G1116" s="202"/>
      <c r="H1116" s="202"/>
      <c r="I1116" s="202"/>
      <c r="O1116" s="202"/>
      <c r="R1116" s="202"/>
    </row>
    <row r="1117" spans="3:18" ht="16.5">
      <c r="C1117" s="202"/>
      <c r="D1117" s="202"/>
      <c r="E1117" s="199"/>
      <c r="F1117" s="202"/>
      <c r="G1117" s="202"/>
      <c r="H1117" s="202"/>
      <c r="I1117" s="202"/>
      <c r="O1117" s="202"/>
      <c r="R1117" s="202"/>
    </row>
    <row r="1118" spans="3:18" ht="16.5">
      <c r="C1118" s="202"/>
      <c r="D1118" s="202"/>
      <c r="E1118" s="199"/>
      <c r="F1118" s="202"/>
      <c r="G1118" s="202"/>
      <c r="H1118" s="202"/>
      <c r="I1118" s="202"/>
      <c r="O1118" s="202"/>
      <c r="R1118" s="202"/>
    </row>
    <row r="1119" spans="3:18" ht="16.5">
      <c r="C1119" s="202"/>
      <c r="D1119" s="202"/>
      <c r="E1119" s="199"/>
      <c r="F1119" s="202"/>
      <c r="G1119" s="202"/>
      <c r="H1119" s="202"/>
      <c r="I1119" s="202"/>
      <c r="O1119" s="202"/>
      <c r="R1119" s="202"/>
    </row>
    <row r="1120" spans="3:18" ht="16.5">
      <c r="C1120" s="202"/>
      <c r="D1120" s="202"/>
      <c r="E1120" s="199"/>
      <c r="F1120" s="202"/>
      <c r="G1120" s="202"/>
      <c r="H1120" s="202"/>
      <c r="I1120" s="202"/>
      <c r="O1120" s="202"/>
      <c r="R1120" s="202"/>
    </row>
    <row r="1121" spans="3:18" ht="16.5">
      <c r="C1121" s="202"/>
      <c r="D1121" s="202"/>
      <c r="E1121" s="199"/>
      <c r="F1121" s="202"/>
      <c r="G1121" s="202"/>
      <c r="H1121" s="202"/>
      <c r="I1121" s="202"/>
      <c r="O1121" s="202"/>
      <c r="R1121" s="202"/>
    </row>
    <row r="1122" spans="3:18" ht="16.5">
      <c r="C1122" s="202"/>
      <c r="D1122" s="202"/>
      <c r="E1122" s="199"/>
      <c r="F1122" s="202"/>
      <c r="G1122" s="202"/>
      <c r="H1122" s="202"/>
      <c r="I1122" s="202"/>
      <c r="O1122" s="202"/>
      <c r="R1122" s="202"/>
    </row>
    <row r="1123" spans="3:18" ht="16.5">
      <c r="C1123" s="202"/>
      <c r="D1123" s="202"/>
      <c r="E1123" s="199"/>
      <c r="F1123" s="202"/>
      <c r="G1123" s="202"/>
      <c r="H1123" s="202"/>
      <c r="I1123" s="202"/>
      <c r="O1123" s="202"/>
      <c r="R1123" s="202"/>
    </row>
    <row r="1124" spans="3:18" ht="16.5">
      <c r="C1124" s="202"/>
      <c r="D1124" s="202"/>
      <c r="E1124" s="199"/>
      <c r="F1124" s="202"/>
      <c r="G1124" s="202"/>
      <c r="H1124" s="202"/>
      <c r="I1124" s="202"/>
      <c r="O1124" s="202"/>
      <c r="R1124" s="202"/>
    </row>
    <row r="1125" spans="3:18" ht="16.5">
      <c r="C1125" s="202"/>
      <c r="D1125" s="202"/>
      <c r="E1125" s="199"/>
      <c r="F1125" s="202"/>
      <c r="G1125" s="202"/>
      <c r="H1125" s="202"/>
      <c r="I1125" s="202"/>
      <c r="O1125" s="202"/>
      <c r="R1125" s="202"/>
    </row>
    <row r="1126" spans="3:18" ht="16.5">
      <c r="C1126" s="202"/>
      <c r="D1126" s="202"/>
      <c r="E1126" s="199"/>
      <c r="F1126" s="202"/>
      <c r="G1126" s="202"/>
      <c r="H1126" s="202"/>
      <c r="I1126" s="202"/>
      <c r="O1126" s="202"/>
      <c r="R1126" s="202"/>
    </row>
    <row r="1127" spans="3:18" ht="16.5">
      <c r="C1127" s="202"/>
      <c r="D1127" s="202"/>
      <c r="E1127" s="199"/>
      <c r="F1127" s="202"/>
      <c r="G1127" s="202"/>
      <c r="H1127" s="202"/>
      <c r="I1127" s="202"/>
      <c r="O1127" s="202"/>
      <c r="R1127" s="202"/>
    </row>
    <row r="1128" spans="3:18" ht="16.5">
      <c r="C1128" s="202"/>
      <c r="D1128" s="202"/>
      <c r="E1128" s="199"/>
      <c r="F1128" s="202"/>
      <c r="G1128" s="202"/>
      <c r="H1128" s="202"/>
      <c r="I1128" s="202"/>
      <c r="O1128" s="202"/>
      <c r="R1128" s="202"/>
    </row>
    <row r="1129" spans="3:18" ht="16.5">
      <c r="C1129" s="202"/>
      <c r="D1129" s="202"/>
      <c r="E1129" s="199"/>
      <c r="F1129" s="202"/>
      <c r="G1129" s="202"/>
      <c r="H1129" s="202"/>
      <c r="I1129" s="202"/>
      <c r="O1129" s="202"/>
      <c r="R1129" s="202"/>
    </row>
    <row r="1130" spans="3:18" ht="16.5">
      <c r="C1130" s="202"/>
      <c r="D1130" s="202"/>
      <c r="E1130" s="199"/>
      <c r="F1130" s="202"/>
      <c r="G1130" s="202"/>
      <c r="H1130" s="202"/>
      <c r="I1130" s="202"/>
      <c r="O1130" s="202"/>
      <c r="R1130" s="202"/>
    </row>
    <row r="1131" spans="3:18" ht="16.5">
      <c r="C1131" s="202"/>
      <c r="D1131" s="202"/>
      <c r="E1131" s="199"/>
      <c r="F1131" s="202"/>
      <c r="G1131" s="202"/>
      <c r="H1131" s="202"/>
      <c r="I1131" s="202"/>
      <c r="O1131" s="202"/>
      <c r="R1131" s="202"/>
    </row>
    <row r="1132" spans="3:18" ht="16.5">
      <c r="C1132" s="202"/>
      <c r="D1132" s="202"/>
      <c r="E1132" s="199"/>
      <c r="F1132" s="202"/>
      <c r="G1132" s="202"/>
      <c r="H1132" s="202"/>
      <c r="I1132" s="202"/>
      <c r="O1132" s="202"/>
      <c r="R1132" s="202"/>
    </row>
    <row r="1133" spans="3:18" ht="16.5">
      <c r="C1133" s="202"/>
      <c r="D1133" s="202"/>
      <c r="E1133" s="199"/>
      <c r="F1133" s="202"/>
      <c r="G1133" s="202"/>
      <c r="H1133" s="202"/>
      <c r="I1133" s="202"/>
      <c r="O1133" s="202"/>
      <c r="R1133" s="202"/>
    </row>
    <row r="1134" spans="3:18" ht="16.5">
      <c r="C1134" s="202"/>
      <c r="D1134" s="202"/>
      <c r="E1134" s="199"/>
      <c r="F1134" s="202"/>
      <c r="G1134" s="202"/>
      <c r="H1134" s="202"/>
      <c r="I1134" s="202"/>
      <c r="O1134" s="202"/>
      <c r="R1134" s="202"/>
    </row>
    <row r="1135" spans="3:18" ht="16.5">
      <c r="C1135" s="202"/>
      <c r="D1135" s="202"/>
      <c r="E1135" s="199"/>
      <c r="F1135" s="202"/>
      <c r="G1135" s="202"/>
      <c r="H1135" s="202"/>
      <c r="I1135" s="202"/>
      <c r="O1135" s="202"/>
      <c r="R1135" s="202"/>
    </row>
    <row r="1136" spans="3:18" ht="16.5">
      <c r="C1136" s="202"/>
      <c r="D1136" s="202"/>
      <c r="E1136" s="199"/>
      <c r="F1136" s="202"/>
      <c r="G1136" s="202"/>
      <c r="H1136" s="202"/>
      <c r="I1136" s="202"/>
      <c r="O1136" s="202"/>
      <c r="R1136" s="202"/>
    </row>
    <row r="1137" spans="3:18" ht="16.5">
      <c r="C1137" s="202"/>
      <c r="D1137" s="202"/>
      <c r="E1137" s="199"/>
      <c r="F1137" s="202"/>
      <c r="G1137" s="202"/>
      <c r="H1137" s="202"/>
      <c r="I1137" s="202"/>
      <c r="O1137" s="202"/>
      <c r="R1137" s="202"/>
    </row>
    <row r="1138" spans="3:18" ht="16.5">
      <c r="C1138" s="202"/>
      <c r="D1138" s="202"/>
      <c r="E1138" s="199"/>
      <c r="F1138" s="202"/>
      <c r="G1138" s="202"/>
      <c r="H1138" s="202"/>
      <c r="I1138" s="202"/>
      <c r="O1138" s="202"/>
      <c r="R1138" s="202"/>
    </row>
    <row r="1139" spans="3:18" ht="16.5">
      <c r="C1139" s="202"/>
      <c r="D1139" s="202"/>
      <c r="E1139" s="199"/>
      <c r="F1139" s="202"/>
      <c r="G1139" s="202"/>
      <c r="H1139" s="202"/>
      <c r="I1139" s="202"/>
      <c r="O1139" s="202"/>
      <c r="R1139" s="202"/>
    </row>
    <row r="1140" spans="3:18" ht="16.5">
      <c r="C1140" s="202"/>
      <c r="D1140" s="202"/>
      <c r="E1140" s="199"/>
      <c r="F1140" s="202"/>
      <c r="G1140" s="202"/>
      <c r="H1140" s="202"/>
      <c r="I1140" s="202"/>
      <c r="O1140" s="202"/>
      <c r="R1140" s="202"/>
    </row>
    <row r="1141" spans="3:18" ht="16.5">
      <c r="C1141" s="202"/>
      <c r="D1141" s="202"/>
      <c r="E1141" s="199"/>
      <c r="F1141" s="202"/>
      <c r="G1141" s="202"/>
      <c r="H1141" s="202"/>
      <c r="I1141" s="202"/>
      <c r="O1141" s="202"/>
      <c r="R1141" s="202"/>
    </row>
    <row r="1142" spans="3:18" ht="16.5">
      <c r="C1142" s="202"/>
      <c r="D1142" s="202"/>
      <c r="E1142" s="199"/>
      <c r="F1142" s="202"/>
      <c r="G1142" s="202"/>
      <c r="H1142" s="202"/>
      <c r="I1142" s="202"/>
      <c r="O1142" s="202"/>
      <c r="R1142" s="202"/>
    </row>
    <row r="1143" spans="3:18" ht="16.5">
      <c r="C1143" s="202"/>
      <c r="D1143" s="202"/>
      <c r="E1143" s="199"/>
      <c r="F1143" s="202"/>
      <c r="G1143" s="202"/>
      <c r="H1143" s="202"/>
      <c r="I1143" s="202"/>
      <c r="O1143" s="202"/>
      <c r="R1143" s="202"/>
    </row>
    <row r="1144" spans="3:18" ht="16.5">
      <c r="C1144" s="202"/>
      <c r="D1144" s="202"/>
      <c r="E1144" s="199"/>
      <c r="F1144" s="202"/>
      <c r="G1144" s="202"/>
      <c r="H1144" s="202"/>
      <c r="I1144" s="202"/>
      <c r="O1144" s="202"/>
      <c r="R1144" s="202"/>
    </row>
    <row r="1145" spans="3:18" ht="16.5">
      <c r="C1145" s="202"/>
      <c r="D1145" s="202"/>
      <c r="E1145" s="199"/>
      <c r="F1145" s="202"/>
      <c r="G1145" s="202"/>
      <c r="H1145" s="202"/>
      <c r="I1145" s="202"/>
      <c r="O1145" s="202"/>
      <c r="R1145" s="202"/>
    </row>
    <row r="1146" spans="3:18" ht="16.5">
      <c r="C1146" s="202"/>
      <c r="D1146" s="202"/>
      <c r="E1146" s="199"/>
      <c r="F1146" s="202"/>
      <c r="G1146" s="202"/>
      <c r="H1146" s="202"/>
      <c r="I1146" s="202"/>
      <c r="O1146" s="202"/>
      <c r="R1146" s="202"/>
    </row>
    <row r="1147" spans="3:18" ht="16.5">
      <c r="C1147" s="202"/>
      <c r="D1147" s="202"/>
      <c r="E1147" s="199"/>
      <c r="F1147" s="202"/>
      <c r="G1147" s="202"/>
      <c r="H1147" s="202"/>
      <c r="I1147" s="202"/>
      <c r="O1147" s="202"/>
      <c r="R1147" s="202"/>
    </row>
    <row r="1148" spans="3:18" ht="16.5">
      <c r="C1148" s="202"/>
      <c r="D1148" s="202"/>
      <c r="E1148" s="199"/>
      <c r="F1148" s="202"/>
      <c r="G1148" s="202"/>
      <c r="H1148" s="202"/>
      <c r="I1148" s="202"/>
      <c r="O1148" s="202"/>
      <c r="R1148" s="202"/>
    </row>
    <row r="1149" spans="3:18" ht="16.5">
      <c r="C1149" s="202"/>
      <c r="D1149" s="202"/>
      <c r="E1149" s="199"/>
      <c r="F1149" s="202"/>
      <c r="G1149" s="202"/>
      <c r="H1149" s="202"/>
      <c r="I1149" s="202"/>
      <c r="O1149" s="202"/>
      <c r="R1149" s="202"/>
    </row>
    <row r="1150" spans="3:18" ht="16.5">
      <c r="C1150" s="202"/>
      <c r="D1150" s="202"/>
      <c r="E1150" s="199"/>
      <c r="F1150" s="202"/>
      <c r="G1150" s="202"/>
      <c r="H1150" s="202"/>
      <c r="I1150" s="202"/>
      <c r="O1150" s="202"/>
      <c r="R1150" s="202"/>
    </row>
    <row r="1151" spans="3:18" ht="16.5">
      <c r="C1151" s="202"/>
      <c r="D1151" s="202"/>
      <c r="E1151" s="199"/>
      <c r="F1151" s="202"/>
      <c r="G1151" s="202"/>
      <c r="H1151" s="202"/>
      <c r="I1151" s="202"/>
      <c r="O1151" s="202"/>
      <c r="R1151" s="202"/>
    </row>
    <row r="1152" spans="3:18" ht="16.5">
      <c r="C1152" s="202"/>
      <c r="D1152" s="202"/>
      <c r="E1152" s="199"/>
      <c r="F1152" s="202"/>
      <c r="G1152" s="202"/>
      <c r="H1152" s="202"/>
      <c r="I1152" s="202"/>
      <c r="O1152" s="202"/>
      <c r="R1152" s="202"/>
    </row>
    <row r="1153" spans="3:18" ht="16.5">
      <c r="C1153" s="202"/>
      <c r="D1153" s="202"/>
      <c r="E1153" s="199"/>
      <c r="F1153" s="202"/>
      <c r="G1153" s="202"/>
      <c r="H1153" s="202"/>
      <c r="I1153" s="202"/>
      <c r="O1153" s="202"/>
      <c r="R1153" s="202"/>
    </row>
    <row r="1154" spans="3:18" ht="16.5">
      <c r="C1154" s="202"/>
      <c r="D1154" s="202"/>
      <c r="E1154" s="199"/>
      <c r="F1154" s="202"/>
      <c r="G1154" s="202"/>
      <c r="H1154" s="202"/>
      <c r="I1154" s="202"/>
      <c r="O1154" s="202"/>
      <c r="R1154" s="202"/>
    </row>
    <row r="1155" spans="3:18" ht="16.5">
      <c r="C1155" s="202"/>
      <c r="D1155" s="202"/>
      <c r="E1155" s="199"/>
      <c r="F1155" s="202"/>
      <c r="G1155" s="202"/>
      <c r="H1155" s="202"/>
      <c r="I1155" s="202"/>
      <c r="O1155" s="202"/>
      <c r="R1155" s="202"/>
    </row>
    <row r="1156" spans="3:18" ht="16.5">
      <c r="C1156" s="202"/>
      <c r="D1156" s="202"/>
      <c r="E1156" s="199"/>
      <c r="F1156" s="202"/>
      <c r="G1156" s="202"/>
      <c r="H1156" s="202"/>
      <c r="I1156" s="202"/>
      <c r="O1156" s="202"/>
      <c r="R1156" s="202"/>
    </row>
    <row r="1157" spans="3:18" ht="16.5">
      <c r="C1157" s="202"/>
      <c r="D1157" s="202"/>
      <c r="E1157" s="199"/>
      <c r="F1157" s="202"/>
      <c r="G1157" s="202"/>
      <c r="H1157" s="202"/>
      <c r="I1157" s="202"/>
      <c r="O1157" s="202"/>
      <c r="R1157" s="202"/>
    </row>
    <row r="1158" spans="3:18" ht="16.5">
      <c r="C1158" s="202"/>
      <c r="D1158" s="202"/>
      <c r="E1158" s="199"/>
      <c r="F1158" s="202"/>
      <c r="G1158" s="202"/>
      <c r="H1158" s="202"/>
      <c r="I1158" s="202"/>
      <c r="O1158" s="202"/>
      <c r="R1158" s="202"/>
    </row>
    <row r="1159" spans="3:18" ht="16.5">
      <c r="C1159" s="202"/>
      <c r="D1159" s="202"/>
      <c r="E1159" s="199"/>
      <c r="F1159" s="202"/>
      <c r="G1159" s="202"/>
      <c r="H1159" s="202"/>
      <c r="I1159" s="202"/>
      <c r="O1159" s="202"/>
      <c r="R1159" s="202"/>
    </row>
    <row r="1160" spans="3:18" ht="16.5">
      <c r="C1160" s="202"/>
      <c r="D1160" s="202"/>
      <c r="E1160" s="199"/>
      <c r="F1160" s="202"/>
      <c r="G1160" s="202"/>
      <c r="H1160" s="202"/>
      <c r="I1160" s="202"/>
      <c r="O1160" s="202"/>
      <c r="R1160" s="202"/>
    </row>
    <row r="1161" spans="3:18" ht="16.5">
      <c r="C1161" s="202"/>
      <c r="D1161" s="202"/>
      <c r="E1161" s="199"/>
      <c r="F1161" s="202"/>
      <c r="G1161" s="202"/>
      <c r="H1161" s="202"/>
      <c r="I1161" s="202"/>
      <c r="O1161" s="202"/>
      <c r="R1161" s="202"/>
    </row>
    <row r="1162" spans="3:18" ht="16.5">
      <c r="C1162" s="202"/>
      <c r="D1162" s="202"/>
      <c r="E1162" s="199"/>
      <c r="F1162" s="202"/>
      <c r="G1162" s="202"/>
      <c r="H1162" s="202"/>
      <c r="I1162" s="202"/>
      <c r="O1162" s="202"/>
      <c r="R1162" s="202"/>
    </row>
    <row r="1163" spans="3:18" ht="16.5">
      <c r="C1163" s="202"/>
      <c r="D1163" s="202"/>
      <c r="E1163" s="199"/>
      <c r="F1163" s="202"/>
      <c r="G1163" s="202"/>
      <c r="H1163" s="202"/>
      <c r="I1163" s="202"/>
      <c r="O1163" s="202"/>
      <c r="R1163" s="202"/>
    </row>
    <row r="1164" spans="3:18" ht="16.5">
      <c r="C1164" s="202"/>
      <c r="D1164" s="202"/>
      <c r="E1164" s="199"/>
      <c r="F1164" s="202"/>
      <c r="G1164" s="202"/>
      <c r="H1164" s="202"/>
      <c r="I1164" s="202"/>
      <c r="O1164" s="202"/>
      <c r="R1164" s="202"/>
    </row>
    <row r="1165" spans="3:18" ht="16.5">
      <c r="C1165" s="202"/>
      <c r="D1165" s="202"/>
      <c r="E1165" s="199"/>
      <c r="F1165" s="202"/>
      <c r="G1165" s="202"/>
      <c r="H1165" s="202"/>
      <c r="I1165" s="202"/>
      <c r="O1165" s="202"/>
      <c r="R1165" s="202"/>
    </row>
    <row r="1166" spans="3:18" ht="16.5">
      <c r="C1166" s="202"/>
      <c r="D1166" s="202"/>
      <c r="E1166" s="199"/>
      <c r="F1166" s="202"/>
      <c r="G1166" s="202"/>
      <c r="H1166" s="202"/>
      <c r="I1166" s="202"/>
      <c r="O1166" s="202"/>
      <c r="R1166" s="202"/>
    </row>
    <row r="1167" spans="3:18" ht="16.5">
      <c r="C1167" s="202"/>
      <c r="D1167" s="202"/>
      <c r="E1167" s="199"/>
      <c r="F1167" s="202"/>
      <c r="G1167" s="202"/>
      <c r="H1167" s="202"/>
      <c r="I1167" s="202"/>
      <c r="O1167" s="202"/>
      <c r="R1167" s="202"/>
    </row>
    <row r="1168" spans="3:18" ht="16.5">
      <c r="C1168" s="202"/>
      <c r="D1168" s="202"/>
      <c r="E1168" s="199"/>
      <c r="F1168" s="202"/>
      <c r="G1168" s="202"/>
      <c r="H1168" s="202"/>
      <c r="I1168" s="202"/>
      <c r="O1168" s="202"/>
      <c r="R1168" s="202"/>
    </row>
    <row r="1169" spans="3:18" ht="16.5">
      <c r="C1169" s="202"/>
      <c r="D1169" s="202"/>
      <c r="E1169" s="199"/>
      <c r="F1169" s="202"/>
      <c r="G1169" s="202"/>
      <c r="H1169" s="202"/>
      <c r="I1169" s="202"/>
      <c r="O1169" s="202"/>
      <c r="R1169" s="202"/>
    </row>
    <row r="1170" spans="3:18" ht="16.5">
      <c r="C1170" s="202"/>
      <c r="D1170" s="202"/>
      <c r="E1170" s="199"/>
      <c r="F1170" s="202"/>
      <c r="G1170" s="202"/>
      <c r="H1170" s="202"/>
      <c r="I1170" s="202"/>
      <c r="O1170" s="202"/>
      <c r="R1170" s="202"/>
    </row>
    <row r="1171" spans="3:18" ht="16.5">
      <c r="C1171" s="202"/>
      <c r="D1171" s="202"/>
      <c r="E1171" s="199"/>
      <c r="F1171" s="202"/>
      <c r="G1171" s="202"/>
      <c r="H1171" s="202"/>
      <c r="I1171" s="202"/>
      <c r="O1171" s="202"/>
      <c r="R1171" s="202"/>
    </row>
    <row r="1172" spans="3:18" ht="16.5">
      <c r="C1172" s="202"/>
      <c r="D1172" s="202"/>
      <c r="E1172" s="199"/>
      <c r="F1172" s="202"/>
      <c r="G1172" s="202"/>
      <c r="H1172" s="202"/>
      <c r="I1172" s="202"/>
      <c r="O1172" s="202"/>
      <c r="R1172" s="202"/>
    </row>
    <row r="1173" spans="3:18" ht="16.5">
      <c r="C1173" s="202"/>
      <c r="D1173" s="202"/>
      <c r="E1173" s="199"/>
      <c r="F1173" s="202"/>
      <c r="G1173" s="202"/>
      <c r="H1173" s="202"/>
      <c r="I1173" s="202"/>
      <c r="O1173" s="202"/>
      <c r="R1173" s="202"/>
    </row>
    <row r="1174" spans="3:18" ht="16.5">
      <c r="C1174" s="202"/>
      <c r="D1174" s="202"/>
      <c r="E1174" s="199"/>
      <c r="F1174" s="202"/>
      <c r="G1174" s="202"/>
      <c r="H1174" s="202"/>
      <c r="I1174" s="202"/>
      <c r="O1174" s="202"/>
      <c r="R1174" s="202"/>
    </row>
    <row r="1175" spans="3:18" ht="16.5">
      <c r="C1175" s="202"/>
      <c r="D1175" s="202"/>
      <c r="E1175" s="199"/>
      <c r="F1175" s="202"/>
      <c r="G1175" s="202"/>
      <c r="H1175" s="202"/>
      <c r="I1175" s="202"/>
      <c r="O1175" s="202"/>
      <c r="R1175" s="202"/>
    </row>
    <row r="1176" spans="3:18" ht="16.5">
      <c r="C1176" s="202"/>
      <c r="D1176" s="202"/>
      <c r="E1176" s="199"/>
      <c r="F1176" s="202"/>
      <c r="G1176" s="202"/>
      <c r="H1176" s="202"/>
      <c r="I1176" s="202"/>
      <c r="O1176" s="202"/>
      <c r="R1176" s="202"/>
    </row>
    <row r="1177" spans="3:18" ht="16.5">
      <c r="C1177" s="202"/>
      <c r="D1177" s="202"/>
      <c r="E1177" s="199"/>
      <c r="F1177" s="202"/>
      <c r="G1177" s="202"/>
      <c r="H1177" s="202"/>
      <c r="I1177" s="202"/>
      <c r="O1177" s="202"/>
      <c r="R1177" s="202"/>
    </row>
    <row r="1178" spans="3:18" ht="16.5">
      <c r="C1178" s="202"/>
      <c r="D1178" s="202"/>
      <c r="E1178" s="199"/>
      <c r="F1178" s="202"/>
      <c r="G1178" s="202"/>
      <c r="H1178" s="202"/>
      <c r="I1178" s="202"/>
      <c r="O1178" s="202"/>
      <c r="R1178" s="202"/>
    </row>
    <row r="1179" spans="3:18" ht="16.5">
      <c r="C1179" s="202"/>
      <c r="D1179" s="202"/>
      <c r="E1179" s="199"/>
      <c r="F1179" s="202"/>
      <c r="G1179" s="202"/>
      <c r="H1179" s="202"/>
      <c r="I1179" s="202"/>
      <c r="O1179" s="202"/>
      <c r="R1179" s="202"/>
    </row>
    <row r="1180" spans="3:18" ht="16.5">
      <c r="C1180" s="202"/>
      <c r="D1180" s="202"/>
      <c r="E1180" s="199"/>
      <c r="F1180" s="202"/>
      <c r="G1180" s="202"/>
      <c r="H1180" s="202"/>
      <c r="I1180" s="202"/>
      <c r="O1180" s="202"/>
      <c r="R1180" s="202"/>
    </row>
    <row r="1181" spans="3:18" ht="16.5">
      <c r="C1181" s="202"/>
      <c r="D1181" s="202"/>
      <c r="E1181" s="199"/>
      <c r="F1181" s="202"/>
      <c r="G1181" s="202"/>
      <c r="H1181" s="202"/>
      <c r="I1181" s="202"/>
      <c r="O1181" s="202"/>
      <c r="R1181" s="202"/>
    </row>
    <row r="1182" spans="3:18" ht="16.5">
      <c r="C1182" s="202"/>
      <c r="D1182" s="202"/>
      <c r="E1182" s="199"/>
      <c r="F1182" s="202"/>
      <c r="G1182" s="202"/>
      <c r="H1182" s="202"/>
      <c r="I1182" s="202"/>
      <c r="O1182" s="202"/>
      <c r="R1182" s="202"/>
    </row>
    <row r="1183" spans="3:18" ht="16.5">
      <c r="C1183" s="202"/>
      <c r="D1183" s="202"/>
      <c r="E1183" s="199"/>
      <c r="F1183" s="202"/>
      <c r="G1183" s="202"/>
      <c r="H1183" s="202"/>
      <c r="I1183" s="202"/>
      <c r="O1183" s="202"/>
      <c r="R1183" s="202"/>
    </row>
    <row r="1184" spans="3:18" ht="16.5">
      <c r="C1184" s="202"/>
      <c r="D1184" s="202"/>
      <c r="E1184" s="199"/>
      <c r="F1184" s="202"/>
      <c r="G1184" s="202"/>
      <c r="H1184" s="202"/>
      <c r="I1184" s="202"/>
      <c r="O1184" s="202"/>
      <c r="R1184" s="202"/>
    </row>
    <row r="1185" spans="3:18" ht="16.5">
      <c r="C1185" s="202"/>
      <c r="D1185" s="202"/>
      <c r="E1185" s="199"/>
      <c r="F1185" s="202"/>
      <c r="G1185" s="202"/>
      <c r="H1185" s="202"/>
      <c r="I1185" s="202"/>
      <c r="O1185" s="202"/>
      <c r="R1185" s="202"/>
    </row>
    <row r="1186" spans="3:18" ht="16.5">
      <c r="C1186" s="202"/>
      <c r="D1186" s="202"/>
      <c r="E1186" s="199"/>
      <c r="F1186" s="202"/>
      <c r="G1186" s="202"/>
      <c r="H1186" s="202"/>
      <c r="I1186" s="202"/>
      <c r="O1186" s="202"/>
      <c r="R1186" s="202"/>
    </row>
    <row r="1187" spans="3:18" ht="16.5">
      <c r="C1187" s="202"/>
      <c r="D1187" s="202"/>
      <c r="E1187" s="199"/>
      <c r="F1187" s="202"/>
      <c r="G1187" s="202"/>
      <c r="H1187" s="202"/>
      <c r="I1187" s="202"/>
      <c r="O1187" s="202"/>
      <c r="R1187" s="202"/>
    </row>
    <row r="1188" spans="3:18" ht="16.5">
      <c r="C1188" s="202"/>
      <c r="D1188" s="202"/>
      <c r="E1188" s="199"/>
      <c r="F1188" s="202"/>
      <c r="G1188" s="202"/>
      <c r="H1188" s="202"/>
      <c r="I1188" s="202"/>
      <c r="O1188" s="202"/>
      <c r="R1188" s="202"/>
    </row>
    <row r="1189" spans="3:18" ht="16.5">
      <c r="C1189" s="202"/>
      <c r="D1189" s="202"/>
      <c r="E1189" s="199"/>
      <c r="F1189" s="202"/>
      <c r="G1189" s="202"/>
      <c r="H1189" s="202"/>
      <c r="I1189" s="202"/>
      <c r="O1189" s="202"/>
      <c r="R1189" s="202"/>
    </row>
    <row r="1190" spans="3:18" ht="16.5">
      <c r="C1190" s="202"/>
      <c r="D1190" s="202"/>
      <c r="E1190" s="199"/>
      <c r="F1190" s="202"/>
      <c r="G1190" s="202"/>
      <c r="H1190" s="202"/>
      <c r="I1190" s="202"/>
      <c r="O1190" s="202"/>
      <c r="R1190" s="202"/>
    </row>
    <row r="1191" spans="3:18" ht="16.5">
      <c r="C1191" s="202"/>
      <c r="D1191" s="202"/>
      <c r="E1191" s="199"/>
      <c r="F1191" s="202"/>
      <c r="G1191" s="202"/>
      <c r="H1191" s="202"/>
      <c r="I1191" s="202"/>
      <c r="O1191" s="202"/>
      <c r="R1191" s="202"/>
    </row>
    <row r="1192" spans="3:18" ht="16.5">
      <c r="C1192" s="202"/>
      <c r="D1192" s="202"/>
      <c r="E1192" s="199"/>
      <c r="F1192" s="202"/>
      <c r="G1192" s="202"/>
      <c r="H1192" s="202"/>
      <c r="I1192" s="202"/>
      <c r="O1192" s="202"/>
      <c r="R1192" s="202"/>
    </row>
    <row r="1193" spans="3:18" ht="16.5">
      <c r="C1193" s="202"/>
      <c r="D1193" s="202"/>
      <c r="E1193" s="199"/>
      <c r="F1193" s="202"/>
      <c r="G1193" s="202"/>
      <c r="H1193" s="202"/>
      <c r="I1193" s="202"/>
      <c r="O1193" s="202"/>
      <c r="R1193" s="202"/>
    </row>
    <row r="1194" spans="3:18" ht="16.5">
      <c r="C1194" s="202"/>
      <c r="D1194" s="202"/>
      <c r="E1194" s="199"/>
      <c r="F1194" s="202"/>
      <c r="G1194" s="202"/>
      <c r="H1194" s="202"/>
      <c r="I1194" s="202"/>
      <c r="O1194" s="202"/>
      <c r="R1194" s="202"/>
    </row>
    <row r="1195" spans="3:18" ht="16.5">
      <c r="C1195" s="202"/>
      <c r="D1195" s="202"/>
      <c r="E1195" s="199"/>
      <c r="F1195" s="202"/>
      <c r="G1195" s="202"/>
      <c r="H1195" s="202"/>
      <c r="I1195" s="202"/>
      <c r="O1195" s="202"/>
      <c r="R1195" s="202"/>
    </row>
    <row r="1196" spans="3:18" ht="16.5">
      <c r="C1196" s="202"/>
      <c r="D1196" s="202"/>
      <c r="E1196" s="199"/>
      <c r="F1196" s="202"/>
      <c r="G1196" s="202"/>
      <c r="H1196" s="202"/>
      <c r="I1196" s="202"/>
      <c r="O1196" s="202"/>
      <c r="R1196" s="202"/>
    </row>
    <row r="1197" spans="3:18" ht="16.5">
      <c r="C1197" s="202"/>
      <c r="D1197" s="202"/>
      <c r="E1197" s="199"/>
      <c r="F1197" s="202"/>
      <c r="G1197" s="202"/>
      <c r="H1197" s="202"/>
      <c r="I1197" s="202"/>
      <c r="O1197" s="202"/>
      <c r="R1197" s="202"/>
    </row>
    <row r="1198" spans="3:18" ht="16.5">
      <c r="C1198" s="202"/>
      <c r="D1198" s="202"/>
      <c r="E1198" s="199"/>
      <c r="F1198" s="202"/>
      <c r="G1198" s="202"/>
      <c r="H1198" s="202"/>
      <c r="I1198" s="202"/>
      <c r="O1198" s="202"/>
      <c r="R1198" s="202"/>
    </row>
    <row r="1199" spans="3:18" ht="16.5">
      <c r="C1199" s="202"/>
      <c r="D1199" s="202"/>
      <c r="E1199" s="199"/>
      <c r="F1199" s="202"/>
      <c r="G1199" s="202"/>
      <c r="H1199" s="202"/>
      <c r="I1199" s="202"/>
      <c r="O1199" s="202"/>
      <c r="R1199" s="202"/>
    </row>
    <row r="1200" spans="3:18" ht="16.5">
      <c r="C1200" s="202"/>
      <c r="D1200" s="202"/>
      <c r="E1200" s="199"/>
      <c r="F1200" s="202"/>
      <c r="G1200" s="202"/>
      <c r="H1200" s="202"/>
      <c r="I1200" s="202"/>
      <c r="O1200" s="202"/>
      <c r="R1200" s="202"/>
    </row>
    <row r="1201" spans="3:18" ht="16.5">
      <c r="C1201" s="202"/>
      <c r="D1201" s="202"/>
      <c r="E1201" s="199"/>
      <c r="F1201" s="202"/>
      <c r="G1201" s="202"/>
      <c r="H1201" s="202"/>
      <c r="I1201" s="202"/>
      <c r="O1201" s="202"/>
      <c r="R1201" s="202"/>
    </row>
    <row r="1202" spans="3:18" ht="16.5">
      <c r="C1202" s="202"/>
      <c r="D1202" s="202"/>
      <c r="E1202" s="199"/>
      <c r="F1202" s="202"/>
      <c r="G1202" s="202"/>
      <c r="H1202" s="202"/>
      <c r="I1202" s="202"/>
      <c r="O1202" s="202"/>
      <c r="R1202" s="202"/>
    </row>
    <row r="1203" spans="3:18" ht="16.5">
      <c r="C1203" s="202"/>
      <c r="D1203" s="202"/>
      <c r="E1203" s="199"/>
      <c r="F1203" s="202"/>
      <c r="G1203" s="202"/>
      <c r="H1203" s="202"/>
      <c r="I1203" s="202"/>
      <c r="O1203" s="202"/>
      <c r="R1203" s="202"/>
    </row>
    <row r="1204" spans="3:18" ht="16.5">
      <c r="C1204" s="202"/>
      <c r="D1204" s="202"/>
      <c r="E1204" s="199"/>
      <c r="F1204" s="202"/>
      <c r="G1204" s="202"/>
      <c r="H1204" s="202"/>
      <c r="I1204" s="202"/>
      <c r="O1204" s="202"/>
      <c r="R1204" s="202"/>
    </row>
    <row r="1205" spans="3:18" ht="16.5">
      <c r="C1205" s="202"/>
      <c r="D1205" s="202"/>
      <c r="E1205" s="199"/>
      <c r="F1205" s="202"/>
      <c r="G1205" s="202"/>
      <c r="H1205" s="202"/>
      <c r="I1205" s="202"/>
      <c r="O1205" s="202"/>
      <c r="R1205" s="202"/>
    </row>
    <row r="1206" spans="3:18" ht="16.5">
      <c r="C1206" s="202"/>
      <c r="D1206" s="202"/>
      <c r="E1206" s="199"/>
      <c r="F1206" s="202"/>
      <c r="G1206" s="202"/>
      <c r="H1206" s="202"/>
      <c r="I1206" s="202"/>
      <c r="O1206" s="202"/>
      <c r="R1206" s="202"/>
    </row>
    <row r="1207" spans="3:18" ht="16.5">
      <c r="C1207" s="202"/>
      <c r="D1207" s="202"/>
      <c r="E1207" s="199"/>
      <c r="F1207" s="202"/>
      <c r="G1207" s="202"/>
      <c r="H1207" s="202"/>
      <c r="I1207" s="202"/>
      <c r="O1207" s="202"/>
      <c r="R1207" s="202"/>
    </row>
    <row r="1208" spans="3:18" ht="16.5">
      <c r="C1208" s="202"/>
      <c r="D1208" s="202"/>
      <c r="E1208" s="199"/>
      <c r="F1208" s="202"/>
      <c r="G1208" s="202"/>
      <c r="H1208" s="202"/>
      <c r="I1208" s="202"/>
      <c r="O1208" s="202"/>
      <c r="R1208" s="202"/>
    </row>
    <row r="1209" spans="3:18" ht="16.5">
      <c r="C1209" s="202"/>
      <c r="D1209" s="202"/>
      <c r="E1209" s="199"/>
      <c r="F1209" s="202"/>
      <c r="G1209" s="202"/>
      <c r="H1209" s="202"/>
      <c r="I1209" s="202"/>
      <c r="O1209" s="202"/>
      <c r="R1209" s="202"/>
    </row>
    <row r="1210" spans="3:18" ht="16.5">
      <c r="C1210" s="202"/>
      <c r="D1210" s="202"/>
      <c r="E1210" s="199"/>
      <c r="F1210" s="202"/>
      <c r="G1210" s="202"/>
      <c r="H1210" s="202"/>
      <c r="I1210" s="202"/>
      <c r="O1210" s="202"/>
      <c r="R1210" s="202"/>
    </row>
    <row r="1211" spans="3:18" ht="16.5">
      <c r="C1211" s="202"/>
      <c r="D1211" s="202"/>
      <c r="E1211" s="199"/>
      <c r="F1211" s="202"/>
      <c r="G1211" s="202"/>
      <c r="H1211" s="202"/>
      <c r="I1211" s="202"/>
      <c r="O1211" s="202"/>
      <c r="R1211" s="202"/>
    </row>
    <row r="1212" spans="3:18" ht="16.5">
      <c r="C1212" s="202"/>
      <c r="D1212" s="202"/>
      <c r="E1212" s="199"/>
      <c r="F1212" s="202"/>
      <c r="G1212" s="202"/>
      <c r="H1212" s="202"/>
      <c r="I1212" s="202"/>
      <c r="O1212" s="202"/>
      <c r="R1212" s="202"/>
    </row>
    <row r="1213" spans="3:18" ht="16.5">
      <c r="C1213" s="202"/>
      <c r="D1213" s="202"/>
      <c r="E1213" s="199"/>
      <c r="F1213" s="202"/>
      <c r="G1213" s="202"/>
      <c r="H1213" s="202"/>
      <c r="I1213" s="202"/>
      <c r="O1213" s="202"/>
      <c r="R1213" s="202"/>
    </row>
    <row r="1214" spans="3:18" ht="16.5">
      <c r="C1214" s="202"/>
      <c r="D1214" s="202"/>
      <c r="E1214" s="199"/>
      <c r="F1214" s="202"/>
      <c r="G1214" s="202"/>
      <c r="H1214" s="202"/>
      <c r="I1214" s="202"/>
      <c r="O1214" s="202"/>
      <c r="R1214" s="202"/>
    </row>
    <row r="1215" spans="3:18" ht="16.5">
      <c r="C1215" s="202"/>
      <c r="D1215" s="202"/>
      <c r="E1215" s="199"/>
      <c r="F1215" s="202"/>
      <c r="G1215" s="202"/>
      <c r="H1215" s="202"/>
      <c r="I1215" s="202"/>
      <c r="O1215" s="202"/>
      <c r="R1215" s="202"/>
    </row>
    <row r="1216" spans="3:18" ht="16.5">
      <c r="C1216" s="202"/>
      <c r="D1216" s="202"/>
      <c r="E1216" s="199"/>
      <c r="F1216" s="202"/>
      <c r="G1216" s="202"/>
      <c r="H1216" s="202"/>
      <c r="I1216" s="202"/>
      <c r="O1216" s="202"/>
      <c r="R1216" s="202"/>
    </row>
    <row r="1217" spans="3:18" ht="16.5">
      <c r="C1217" s="202"/>
      <c r="D1217" s="202"/>
      <c r="E1217" s="199"/>
      <c r="F1217" s="202"/>
      <c r="G1217" s="202"/>
      <c r="H1217" s="202"/>
      <c r="I1217" s="202"/>
      <c r="O1217" s="202"/>
      <c r="R1217" s="202"/>
    </row>
    <row r="1218" spans="3:18" ht="16.5">
      <c r="C1218" s="202"/>
      <c r="D1218" s="202"/>
      <c r="E1218" s="199"/>
      <c r="F1218" s="202"/>
      <c r="G1218" s="202"/>
      <c r="H1218" s="202"/>
      <c r="I1218" s="202"/>
      <c r="O1218" s="202"/>
      <c r="R1218" s="202"/>
    </row>
    <row r="1219" spans="3:18" ht="16.5">
      <c r="C1219" s="202"/>
      <c r="D1219" s="202"/>
      <c r="E1219" s="199"/>
      <c r="F1219" s="202"/>
      <c r="G1219" s="202"/>
      <c r="H1219" s="202"/>
      <c r="I1219" s="202"/>
      <c r="O1219" s="202"/>
      <c r="R1219" s="202"/>
    </row>
    <row r="1220" spans="3:18" ht="16.5">
      <c r="C1220" s="202"/>
      <c r="D1220" s="202"/>
      <c r="E1220" s="199"/>
      <c r="F1220" s="202"/>
      <c r="G1220" s="202"/>
      <c r="H1220" s="202"/>
      <c r="I1220" s="202"/>
      <c r="O1220" s="202"/>
      <c r="R1220" s="202"/>
    </row>
    <row r="1221" spans="3:18" ht="16.5">
      <c r="C1221" s="202"/>
      <c r="D1221" s="202"/>
      <c r="E1221" s="199"/>
      <c r="F1221" s="202"/>
      <c r="G1221" s="202"/>
      <c r="H1221" s="202"/>
      <c r="I1221" s="202"/>
      <c r="O1221" s="202"/>
      <c r="R1221" s="202"/>
    </row>
    <row r="1222" spans="3:18" ht="16.5">
      <c r="C1222" s="202"/>
      <c r="D1222" s="202"/>
      <c r="E1222" s="199"/>
      <c r="F1222" s="202"/>
      <c r="G1222" s="202"/>
      <c r="H1222" s="202"/>
      <c r="I1222" s="202"/>
      <c r="O1222" s="202"/>
      <c r="R1222" s="202"/>
    </row>
    <row r="1223" spans="3:18" ht="16.5">
      <c r="C1223" s="202"/>
      <c r="D1223" s="202"/>
      <c r="E1223" s="199"/>
      <c r="F1223" s="202"/>
      <c r="G1223" s="202"/>
      <c r="H1223" s="202"/>
      <c r="I1223" s="202"/>
      <c r="O1223" s="202"/>
      <c r="R1223" s="202"/>
    </row>
    <row r="1224" spans="3:18" ht="16.5">
      <c r="C1224" s="202"/>
      <c r="D1224" s="202"/>
      <c r="E1224" s="199"/>
      <c r="F1224" s="202"/>
      <c r="G1224" s="202"/>
      <c r="H1224" s="202"/>
      <c r="I1224" s="202"/>
      <c r="O1224" s="202"/>
      <c r="R1224" s="202"/>
    </row>
    <row r="1225" spans="3:18" ht="16.5">
      <c r="C1225" s="202"/>
      <c r="D1225" s="202"/>
      <c r="E1225" s="199"/>
      <c r="F1225" s="202"/>
      <c r="G1225" s="202"/>
      <c r="H1225" s="202"/>
      <c r="I1225" s="202"/>
      <c r="O1225" s="202"/>
      <c r="R1225" s="202"/>
    </row>
    <row r="1226" spans="3:18" ht="16.5">
      <c r="C1226" s="202"/>
      <c r="D1226" s="202"/>
      <c r="E1226" s="199"/>
      <c r="F1226" s="202"/>
      <c r="G1226" s="202"/>
      <c r="H1226" s="202"/>
      <c r="I1226" s="202"/>
      <c r="O1226" s="202"/>
      <c r="R1226" s="202"/>
    </row>
    <row r="1227" spans="3:18" ht="16.5">
      <c r="C1227" s="202"/>
      <c r="D1227" s="202"/>
      <c r="E1227" s="199"/>
      <c r="F1227" s="202"/>
      <c r="G1227" s="202"/>
      <c r="H1227" s="202"/>
      <c r="I1227" s="202"/>
      <c r="O1227" s="202"/>
      <c r="R1227" s="202"/>
    </row>
    <row r="1228" spans="3:18" ht="16.5">
      <c r="C1228" s="202"/>
      <c r="D1228" s="202"/>
      <c r="E1228" s="199"/>
      <c r="F1228" s="202"/>
      <c r="G1228" s="202"/>
      <c r="H1228" s="202"/>
      <c r="I1228" s="202"/>
      <c r="O1228" s="202"/>
      <c r="R1228" s="202"/>
    </row>
    <row r="1229" spans="3:18" ht="16.5">
      <c r="C1229" s="202"/>
      <c r="D1229" s="202"/>
      <c r="E1229" s="199"/>
      <c r="F1229" s="202"/>
      <c r="G1229" s="202"/>
      <c r="H1229" s="202"/>
      <c r="I1229" s="202"/>
      <c r="O1229" s="202"/>
      <c r="R1229" s="202"/>
    </row>
    <row r="1230" spans="3:18" ht="16.5">
      <c r="C1230" s="202"/>
      <c r="D1230" s="202"/>
      <c r="E1230" s="199"/>
      <c r="F1230" s="202"/>
      <c r="G1230" s="202"/>
      <c r="H1230" s="202"/>
      <c r="I1230" s="202"/>
      <c r="O1230" s="202"/>
      <c r="R1230" s="202"/>
    </row>
    <row r="1231" spans="3:18" ht="16.5">
      <c r="C1231" s="202"/>
      <c r="D1231" s="202"/>
      <c r="E1231" s="199"/>
      <c r="F1231" s="202"/>
      <c r="G1231" s="202"/>
      <c r="H1231" s="202"/>
      <c r="I1231" s="202"/>
      <c r="O1231" s="202"/>
      <c r="R1231" s="202"/>
    </row>
    <row r="1232" spans="3:18" ht="16.5">
      <c r="C1232" s="202"/>
      <c r="D1232" s="202"/>
      <c r="E1232" s="199"/>
      <c r="F1232" s="202"/>
      <c r="G1232" s="202"/>
      <c r="H1232" s="202"/>
      <c r="I1232" s="202"/>
      <c r="O1232" s="202"/>
      <c r="R1232" s="202"/>
    </row>
    <row r="1233" spans="3:18" ht="16.5">
      <c r="C1233" s="202"/>
      <c r="D1233" s="202"/>
      <c r="E1233" s="199"/>
      <c r="F1233" s="202"/>
      <c r="G1233" s="202"/>
      <c r="H1233" s="202"/>
      <c r="I1233" s="202"/>
      <c r="O1233" s="202"/>
      <c r="R1233" s="202"/>
    </row>
    <row r="1234" spans="3:18" ht="16.5">
      <c r="C1234" s="202"/>
      <c r="D1234" s="202"/>
      <c r="E1234" s="199"/>
      <c r="F1234" s="202"/>
      <c r="G1234" s="202"/>
      <c r="H1234" s="202"/>
      <c r="I1234" s="202"/>
      <c r="O1234" s="202"/>
      <c r="R1234" s="202"/>
    </row>
    <row r="1235" spans="3:18" ht="16.5">
      <c r="C1235" s="202"/>
      <c r="D1235" s="202"/>
      <c r="E1235" s="199"/>
      <c r="F1235" s="202"/>
      <c r="G1235" s="202"/>
      <c r="H1235" s="202"/>
      <c r="I1235" s="202"/>
      <c r="O1235" s="202"/>
      <c r="R1235" s="202"/>
    </row>
    <row r="1236" spans="3:18" ht="16.5">
      <c r="C1236" s="202"/>
      <c r="D1236" s="202"/>
      <c r="E1236" s="199"/>
      <c r="F1236" s="202"/>
      <c r="G1236" s="202"/>
      <c r="H1236" s="202"/>
      <c r="I1236" s="202"/>
      <c r="O1236" s="202"/>
      <c r="R1236" s="202"/>
    </row>
    <row r="1237" spans="3:18" ht="16.5">
      <c r="C1237" s="202"/>
      <c r="D1237" s="202"/>
      <c r="E1237" s="199"/>
      <c r="F1237" s="202"/>
      <c r="G1237" s="202"/>
      <c r="H1237" s="202"/>
      <c r="I1237" s="202"/>
      <c r="O1237" s="202"/>
      <c r="R1237" s="202"/>
    </row>
    <row r="1238" spans="3:18" ht="16.5">
      <c r="C1238" s="202"/>
      <c r="D1238" s="202"/>
      <c r="E1238" s="199"/>
      <c r="F1238" s="202"/>
      <c r="G1238" s="202"/>
      <c r="H1238" s="202"/>
      <c r="I1238" s="202"/>
      <c r="O1238" s="202"/>
      <c r="R1238" s="202"/>
    </row>
    <row r="1239" spans="3:18" ht="16.5">
      <c r="C1239" s="202"/>
      <c r="D1239" s="202"/>
      <c r="E1239" s="199"/>
      <c r="F1239" s="202"/>
      <c r="G1239" s="202"/>
      <c r="H1239" s="202"/>
      <c r="I1239" s="202"/>
      <c r="O1239" s="202"/>
      <c r="R1239" s="202"/>
    </row>
    <row r="1240" spans="3:18" ht="16.5">
      <c r="C1240" s="202"/>
      <c r="D1240" s="202"/>
      <c r="E1240" s="199"/>
      <c r="F1240" s="202"/>
      <c r="G1240" s="202"/>
      <c r="H1240" s="202"/>
      <c r="I1240" s="202"/>
      <c r="O1240" s="202"/>
      <c r="R1240" s="202"/>
    </row>
    <row r="1241" spans="3:18" ht="16.5">
      <c r="C1241" s="202"/>
      <c r="D1241" s="202"/>
      <c r="E1241" s="199"/>
      <c r="F1241" s="202"/>
      <c r="G1241" s="202"/>
      <c r="H1241" s="202"/>
      <c r="I1241" s="202"/>
      <c r="O1241" s="202"/>
      <c r="R1241" s="202"/>
    </row>
    <row r="1242" spans="3:18" ht="16.5">
      <c r="C1242" s="202"/>
      <c r="D1242" s="202"/>
      <c r="E1242" s="199"/>
      <c r="F1242" s="202"/>
      <c r="G1242" s="202"/>
      <c r="H1242" s="202"/>
      <c r="I1242" s="202"/>
      <c r="O1242" s="202"/>
      <c r="R1242" s="202"/>
    </row>
    <row r="1243" spans="3:18" ht="16.5">
      <c r="C1243" s="202"/>
      <c r="D1243" s="202"/>
      <c r="E1243" s="199"/>
      <c r="F1243" s="202"/>
      <c r="G1243" s="202"/>
      <c r="H1243" s="202"/>
      <c r="I1243" s="202"/>
      <c r="O1243" s="202"/>
      <c r="R1243" s="202"/>
    </row>
    <row r="1244" spans="3:18" ht="16.5">
      <c r="C1244" s="202"/>
      <c r="D1244" s="202"/>
      <c r="E1244" s="199"/>
      <c r="F1244" s="202"/>
      <c r="G1244" s="202"/>
      <c r="H1244" s="202"/>
      <c r="I1244" s="202"/>
      <c r="O1244" s="202"/>
      <c r="R1244" s="202"/>
    </row>
    <row r="1245" spans="3:18" ht="16.5">
      <c r="C1245" s="202"/>
      <c r="D1245" s="202"/>
      <c r="E1245" s="199"/>
      <c r="F1245" s="202"/>
      <c r="G1245" s="202"/>
      <c r="H1245" s="202"/>
      <c r="I1245" s="202"/>
      <c r="O1245" s="202"/>
      <c r="R1245" s="202"/>
    </row>
    <row r="1246" spans="3:18" ht="16.5">
      <c r="C1246" s="202"/>
      <c r="D1246" s="202"/>
      <c r="E1246" s="199"/>
      <c r="F1246" s="202"/>
      <c r="G1246" s="202"/>
      <c r="H1246" s="202"/>
      <c r="I1246" s="202"/>
      <c r="O1246" s="202"/>
      <c r="R1246" s="202"/>
    </row>
    <row r="1247" spans="3:18" ht="16.5">
      <c r="C1247" s="202"/>
      <c r="D1247" s="202"/>
      <c r="E1247" s="199"/>
      <c r="F1247" s="202"/>
      <c r="G1247" s="202"/>
      <c r="H1247" s="202"/>
      <c r="I1247" s="202"/>
      <c r="O1247" s="202"/>
      <c r="R1247" s="202"/>
    </row>
    <row r="1248" spans="3:18" ht="16.5">
      <c r="C1248" s="202"/>
      <c r="D1248" s="202"/>
      <c r="E1248" s="199"/>
      <c r="F1248" s="202"/>
      <c r="G1248" s="202"/>
      <c r="H1248" s="202"/>
      <c r="I1248" s="202"/>
      <c r="O1248" s="202"/>
      <c r="R1248" s="202"/>
    </row>
    <row r="1249" spans="3:18" ht="16.5">
      <c r="C1249" s="202"/>
      <c r="D1249" s="202"/>
      <c r="E1249" s="199"/>
      <c r="F1249" s="202"/>
      <c r="G1249" s="202"/>
      <c r="H1249" s="202"/>
      <c r="I1249" s="202"/>
      <c r="O1249" s="202"/>
      <c r="R1249" s="202"/>
    </row>
    <row r="1250" spans="3:18" ht="16.5">
      <c r="C1250" s="202"/>
      <c r="D1250" s="202"/>
      <c r="E1250" s="199"/>
      <c r="F1250" s="202"/>
      <c r="G1250" s="202"/>
      <c r="H1250" s="202"/>
      <c r="I1250" s="202"/>
      <c r="O1250" s="202"/>
      <c r="R1250" s="202"/>
    </row>
    <row r="1251" spans="3:18" ht="16.5">
      <c r="C1251" s="202"/>
      <c r="D1251" s="202"/>
      <c r="E1251" s="199"/>
      <c r="F1251" s="202"/>
      <c r="G1251" s="202"/>
      <c r="H1251" s="202"/>
      <c r="I1251" s="202"/>
      <c r="O1251" s="202"/>
      <c r="R1251" s="202"/>
    </row>
    <row r="1252" spans="3:18" ht="16.5">
      <c r="C1252" s="202"/>
      <c r="D1252" s="202"/>
      <c r="E1252" s="199"/>
      <c r="F1252" s="202"/>
      <c r="G1252" s="202"/>
      <c r="H1252" s="202"/>
      <c r="I1252" s="202"/>
      <c r="O1252" s="202"/>
      <c r="R1252" s="202"/>
    </row>
    <row r="1253" spans="3:18" ht="16.5">
      <c r="C1253" s="202"/>
      <c r="D1253" s="202"/>
      <c r="E1253" s="199"/>
      <c r="F1253" s="202"/>
      <c r="G1253" s="202"/>
      <c r="H1253" s="202"/>
      <c r="I1253" s="202"/>
      <c r="O1253" s="202"/>
      <c r="R1253" s="202"/>
    </row>
    <row r="1254" spans="3:18" ht="16.5">
      <c r="C1254" s="202"/>
      <c r="D1254" s="202"/>
      <c r="E1254" s="199"/>
      <c r="F1254" s="202"/>
      <c r="G1254" s="202"/>
      <c r="H1254" s="202"/>
      <c r="I1254" s="202"/>
      <c r="O1254" s="202"/>
      <c r="R1254" s="202"/>
    </row>
    <row r="1255" spans="3:18" ht="16.5">
      <c r="C1255" s="202"/>
      <c r="D1255" s="202"/>
      <c r="E1255" s="199"/>
      <c r="F1255" s="202"/>
      <c r="G1255" s="202"/>
      <c r="H1255" s="202"/>
      <c r="I1255" s="202"/>
      <c r="O1255" s="202"/>
      <c r="R1255" s="202"/>
    </row>
    <row r="1256" spans="3:18" ht="16.5">
      <c r="C1256" s="202"/>
      <c r="D1256" s="202"/>
      <c r="E1256" s="199"/>
      <c r="F1256" s="202"/>
      <c r="G1256" s="202"/>
      <c r="H1256" s="202"/>
      <c r="I1256" s="202"/>
      <c r="O1256" s="202"/>
      <c r="R1256" s="202"/>
    </row>
    <row r="1257" spans="3:18" ht="16.5">
      <c r="C1257" s="202"/>
      <c r="D1257" s="202"/>
      <c r="E1257" s="199"/>
      <c r="F1257" s="202"/>
      <c r="G1257" s="202"/>
      <c r="H1257" s="202"/>
      <c r="I1257" s="202"/>
      <c r="O1257" s="202"/>
      <c r="R1257" s="202"/>
    </row>
    <row r="1258" spans="3:18" ht="16.5">
      <c r="C1258" s="202"/>
      <c r="D1258" s="202"/>
      <c r="E1258" s="199"/>
      <c r="F1258" s="202"/>
      <c r="G1258" s="202"/>
      <c r="H1258" s="202"/>
      <c r="I1258" s="202"/>
      <c r="O1258" s="202"/>
      <c r="R1258" s="202"/>
    </row>
    <row r="1259" spans="3:18" ht="16.5">
      <c r="C1259" s="202"/>
      <c r="D1259" s="202"/>
      <c r="E1259" s="199"/>
      <c r="F1259" s="202"/>
      <c r="G1259" s="202"/>
      <c r="H1259" s="202"/>
      <c r="I1259" s="202"/>
      <c r="O1259" s="202"/>
      <c r="R1259" s="202"/>
    </row>
    <row r="1260" spans="3:18" ht="16.5">
      <c r="C1260" s="202"/>
      <c r="D1260" s="202"/>
      <c r="E1260" s="199"/>
      <c r="F1260" s="202"/>
      <c r="G1260" s="202"/>
      <c r="H1260" s="202"/>
      <c r="I1260" s="202"/>
      <c r="O1260" s="202"/>
      <c r="R1260" s="202"/>
    </row>
    <row r="1261" spans="3:18" ht="16.5">
      <c r="C1261" s="202"/>
      <c r="D1261" s="202"/>
      <c r="E1261" s="199"/>
      <c r="F1261" s="202"/>
      <c r="G1261" s="202"/>
      <c r="H1261" s="202"/>
      <c r="I1261" s="202"/>
      <c r="O1261" s="202"/>
      <c r="R1261" s="202"/>
    </row>
    <row r="1262" spans="3:18" ht="16.5">
      <c r="C1262" s="202"/>
      <c r="D1262" s="202"/>
      <c r="E1262" s="199"/>
      <c r="F1262" s="202"/>
      <c r="G1262" s="202"/>
      <c r="H1262" s="202"/>
      <c r="I1262" s="202"/>
      <c r="O1262" s="202"/>
      <c r="R1262" s="202"/>
    </row>
    <row r="1263" spans="3:18" ht="16.5">
      <c r="C1263" s="202"/>
      <c r="D1263" s="202"/>
      <c r="E1263" s="199"/>
      <c r="F1263" s="202"/>
      <c r="G1263" s="202"/>
      <c r="H1263" s="202"/>
      <c r="I1263" s="202"/>
      <c r="O1263" s="202"/>
      <c r="R1263" s="202"/>
    </row>
    <row r="1264" spans="3:18" ht="16.5">
      <c r="C1264" s="202"/>
      <c r="D1264" s="202"/>
      <c r="E1264" s="199"/>
      <c r="F1264" s="202"/>
      <c r="G1264" s="202"/>
      <c r="H1264" s="202"/>
      <c r="I1264" s="202"/>
      <c r="O1264" s="202"/>
      <c r="R1264" s="202"/>
    </row>
    <row r="1265" spans="3:18" ht="16.5">
      <c r="C1265" s="202"/>
      <c r="D1265" s="202"/>
      <c r="E1265" s="199"/>
      <c r="F1265" s="202"/>
      <c r="G1265" s="202"/>
      <c r="H1265" s="202"/>
      <c r="I1265" s="202"/>
      <c r="O1265" s="202"/>
      <c r="R1265" s="202"/>
    </row>
    <row r="1266" spans="3:18" ht="16.5">
      <c r="C1266" s="202"/>
      <c r="D1266" s="202"/>
      <c r="E1266" s="199"/>
      <c r="F1266" s="202"/>
      <c r="G1266" s="202"/>
      <c r="H1266" s="202"/>
      <c r="I1266" s="202"/>
      <c r="O1266" s="202"/>
      <c r="R1266" s="202"/>
    </row>
    <row r="1267" spans="3:18" ht="16.5">
      <c r="C1267" s="202"/>
      <c r="D1267" s="202"/>
      <c r="E1267" s="199"/>
      <c r="F1267" s="202"/>
      <c r="G1267" s="202"/>
      <c r="H1267" s="202"/>
      <c r="I1267" s="202"/>
      <c r="O1267" s="202"/>
      <c r="R1267" s="202"/>
    </row>
    <row r="1268" spans="3:18" ht="16.5">
      <c r="C1268" s="202"/>
      <c r="D1268" s="202"/>
      <c r="E1268" s="199"/>
      <c r="F1268" s="202"/>
      <c r="G1268" s="202"/>
      <c r="H1268" s="202"/>
      <c r="I1268" s="202"/>
      <c r="O1268" s="202"/>
      <c r="R1268" s="202"/>
    </row>
    <row r="1269" spans="3:18" ht="16.5">
      <c r="C1269" s="202"/>
      <c r="D1269" s="202"/>
      <c r="E1269" s="199"/>
      <c r="F1269" s="202"/>
      <c r="G1269" s="202"/>
      <c r="H1269" s="202"/>
      <c r="I1269" s="202"/>
      <c r="O1269" s="202"/>
      <c r="R1269" s="202"/>
    </row>
    <row r="1270" spans="3:18" ht="16.5">
      <c r="C1270" s="202"/>
      <c r="D1270" s="202"/>
      <c r="E1270" s="199"/>
      <c r="F1270" s="202"/>
      <c r="G1270" s="202"/>
      <c r="H1270" s="202"/>
      <c r="I1270" s="202"/>
      <c r="O1270" s="202"/>
      <c r="R1270" s="202"/>
    </row>
    <row r="1271" spans="3:18" ht="16.5">
      <c r="C1271" s="202"/>
      <c r="D1271" s="202"/>
      <c r="E1271" s="199"/>
      <c r="F1271" s="202"/>
      <c r="G1271" s="202"/>
      <c r="H1271" s="202"/>
      <c r="I1271" s="202"/>
      <c r="O1271" s="202"/>
      <c r="R1271" s="202"/>
    </row>
    <row r="1272" spans="3:18" ht="16.5">
      <c r="C1272" s="202"/>
      <c r="D1272" s="202"/>
      <c r="E1272" s="199"/>
      <c r="F1272" s="202"/>
      <c r="G1272" s="202"/>
      <c r="H1272" s="202"/>
      <c r="I1272" s="202"/>
      <c r="O1272" s="202"/>
      <c r="R1272" s="202"/>
    </row>
    <row r="1273" spans="3:18" ht="16.5">
      <c r="C1273" s="202"/>
      <c r="D1273" s="202"/>
      <c r="E1273" s="199"/>
      <c r="F1273" s="202"/>
      <c r="G1273" s="202"/>
      <c r="H1273" s="202"/>
      <c r="I1273" s="202"/>
      <c r="O1273" s="202"/>
      <c r="R1273" s="202"/>
    </row>
    <row r="1274" spans="3:18" ht="16.5">
      <c r="C1274" s="202"/>
      <c r="D1274" s="202"/>
      <c r="E1274" s="199"/>
      <c r="F1274" s="202"/>
      <c r="G1274" s="202"/>
      <c r="H1274" s="202"/>
      <c r="I1274" s="202"/>
      <c r="O1274" s="202"/>
      <c r="R1274" s="202"/>
    </row>
    <row r="1275" spans="3:18" ht="16.5">
      <c r="C1275" s="202"/>
      <c r="D1275" s="202"/>
      <c r="E1275" s="199"/>
      <c r="F1275" s="202"/>
      <c r="G1275" s="202"/>
      <c r="H1275" s="202"/>
      <c r="I1275" s="202"/>
      <c r="O1275" s="202"/>
      <c r="R1275" s="202"/>
    </row>
    <row r="1276" spans="3:18" ht="16.5">
      <c r="C1276" s="202"/>
      <c r="D1276" s="202"/>
      <c r="E1276" s="199"/>
      <c r="F1276" s="202"/>
      <c r="G1276" s="202"/>
      <c r="H1276" s="202"/>
      <c r="I1276" s="202"/>
      <c r="O1276" s="202"/>
      <c r="R1276" s="202"/>
    </row>
    <row r="1277" spans="3:18" ht="16.5">
      <c r="C1277" s="202"/>
      <c r="D1277" s="202"/>
      <c r="E1277" s="199"/>
      <c r="F1277" s="202"/>
      <c r="G1277" s="202"/>
      <c r="H1277" s="202"/>
      <c r="I1277" s="202"/>
      <c r="O1277" s="202"/>
      <c r="R1277" s="202"/>
    </row>
    <row r="1278" spans="3:18" ht="16.5">
      <c r="C1278" s="202"/>
      <c r="D1278" s="202"/>
      <c r="E1278" s="199"/>
      <c r="F1278" s="202"/>
      <c r="G1278" s="202"/>
      <c r="H1278" s="202"/>
      <c r="I1278" s="202"/>
      <c r="O1278" s="202"/>
      <c r="R1278" s="202"/>
    </row>
    <row r="1279" spans="3:18" ht="16.5">
      <c r="C1279" s="202"/>
      <c r="D1279" s="202"/>
      <c r="E1279" s="199"/>
      <c r="F1279" s="202"/>
      <c r="G1279" s="202"/>
      <c r="H1279" s="202"/>
      <c r="I1279" s="202"/>
      <c r="O1279" s="202"/>
      <c r="R1279" s="202"/>
    </row>
    <row r="1280" spans="3:18" ht="16.5">
      <c r="C1280" s="202"/>
      <c r="D1280" s="202"/>
      <c r="E1280" s="199"/>
      <c r="F1280" s="202"/>
      <c r="G1280" s="202"/>
      <c r="H1280" s="202"/>
      <c r="I1280" s="202"/>
      <c r="O1280" s="202"/>
      <c r="R1280" s="202"/>
    </row>
    <row r="1281" spans="3:18" ht="16.5">
      <c r="C1281" s="202"/>
      <c r="D1281" s="202"/>
      <c r="E1281" s="199"/>
      <c r="F1281" s="202"/>
      <c r="G1281" s="202"/>
      <c r="H1281" s="202"/>
      <c r="I1281" s="202"/>
      <c r="O1281" s="202"/>
      <c r="R1281" s="202"/>
    </row>
    <row r="1282" spans="3:18" ht="16.5">
      <c r="C1282" s="202"/>
      <c r="D1282" s="202"/>
      <c r="E1282" s="199"/>
      <c r="F1282" s="202"/>
      <c r="G1282" s="202"/>
      <c r="H1282" s="202"/>
      <c r="I1282" s="202"/>
      <c r="O1282" s="202"/>
      <c r="R1282" s="202"/>
    </row>
    <row r="1283" spans="3:18" ht="16.5">
      <c r="C1283" s="202"/>
      <c r="D1283" s="202"/>
      <c r="E1283" s="199"/>
      <c r="F1283" s="202"/>
      <c r="G1283" s="202"/>
      <c r="H1283" s="202"/>
      <c r="I1283" s="202"/>
      <c r="O1283" s="202"/>
      <c r="R1283" s="202"/>
    </row>
    <row r="1284" spans="3:18" ht="16.5">
      <c r="C1284" s="202"/>
      <c r="D1284" s="202"/>
      <c r="E1284" s="199"/>
      <c r="F1284" s="202"/>
      <c r="G1284" s="202"/>
      <c r="H1284" s="202"/>
      <c r="I1284" s="202"/>
      <c r="O1284" s="202"/>
      <c r="R1284" s="202"/>
    </row>
    <row r="1285" spans="3:18" ht="16.5">
      <c r="C1285" s="202"/>
      <c r="D1285" s="202"/>
      <c r="E1285" s="199"/>
      <c r="F1285" s="202"/>
      <c r="G1285" s="202"/>
      <c r="H1285" s="202"/>
      <c r="I1285" s="202"/>
      <c r="O1285" s="202"/>
      <c r="R1285" s="202"/>
    </row>
    <row r="1286" spans="3:18" ht="16.5">
      <c r="C1286" s="202"/>
      <c r="D1286" s="202"/>
      <c r="E1286" s="199"/>
      <c r="F1286" s="202"/>
      <c r="G1286" s="202"/>
      <c r="H1286" s="202"/>
      <c r="I1286" s="202"/>
      <c r="O1286" s="202"/>
      <c r="R1286" s="202"/>
    </row>
    <row r="1287" spans="3:18" ht="16.5">
      <c r="C1287" s="202"/>
      <c r="D1287" s="202"/>
      <c r="E1287" s="199"/>
      <c r="F1287" s="202"/>
      <c r="G1287" s="202"/>
      <c r="H1287" s="202"/>
      <c r="I1287" s="202"/>
      <c r="O1287" s="202"/>
      <c r="R1287" s="202"/>
    </row>
    <row r="1288" spans="3:18" ht="16.5">
      <c r="C1288" s="202"/>
      <c r="D1288" s="202"/>
      <c r="E1288" s="199"/>
      <c r="F1288" s="202"/>
      <c r="G1288" s="202"/>
      <c r="H1288" s="202"/>
      <c r="I1288" s="202"/>
      <c r="O1288" s="202"/>
      <c r="R1288" s="202"/>
    </row>
    <row r="1289" spans="3:18" ht="16.5">
      <c r="C1289" s="202"/>
      <c r="D1289" s="202"/>
      <c r="E1289" s="199"/>
      <c r="F1289" s="202"/>
      <c r="G1289" s="202"/>
      <c r="H1289" s="202"/>
      <c r="I1289" s="202"/>
      <c r="O1289" s="202"/>
      <c r="R1289" s="202"/>
    </row>
    <row r="1290" spans="3:18" ht="16.5">
      <c r="C1290" s="202"/>
      <c r="D1290" s="202"/>
      <c r="E1290" s="199"/>
      <c r="F1290" s="202"/>
      <c r="G1290" s="202"/>
      <c r="H1290" s="202"/>
      <c r="I1290" s="202"/>
      <c r="O1290" s="202"/>
      <c r="R1290" s="202"/>
    </row>
    <row r="1291" spans="3:18" ht="16.5">
      <c r="C1291" s="202"/>
      <c r="D1291" s="202"/>
      <c r="E1291" s="199"/>
      <c r="F1291" s="202"/>
      <c r="G1291" s="202"/>
      <c r="H1291" s="202"/>
      <c r="I1291" s="202"/>
      <c r="O1291" s="202"/>
      <c r="R1291" s="202"/>
    </row>
    <row r="1292" spans="3:18" ht="16.5">
      <c r="C1292" s="202"/>
      <c r="D1292" s="202"/>
      <c r="E1292" s="199"/>
      <c r="F1292" s="202"/>
      <c r="G1292" s="202"/>
      <c r="H1292" s="202"/>
      <c r="I1292" s="202"/>
      <c r="O1292" s="202"/>
      <c r="R1292" s="202"/>
    </row>
    <row r="1293" spans="3:18" ht="16.5">
      <c r="C1293" s="202"/>
      <c r="D1293" s="202"/>
      <c r="E1293" s="199"/>
      <c r="F1293" s="202"/>
      <c r="G1293" s="202"/>
      <c r="H1293" s="202"/>
      <c r="I1293" s="202"/>
      <c r="O1293" s="202"/>
      <c r="R1293" s="202"/>
    </row>
    <row r="1294" spans="3:18" ht="16.5">
      <c r="C1294" s="202"/>
      <c r="D1294" s="202"/>
      <c r="E1294" s="199"/>
      <c r="F1294" s="202"/>
      <c r="G1294" s="202"/>
      <c r="H1294" s="202"/>
      <c r="I1294" s="202"/>
      <c r="O1294" s="202"/>
      <c r="R1294" s="202"/>
    </row>
    <row r="1295" spans="3:18" ht="16.5">
      <c r="C1295" s="202"/>
      <c r="D1295" s="202"/>
      <c r="E1295" s="199"/>
      <c r="F1295" s="202"/>
      <c r="G1295" s="202"/>
      <c r="H1295" s="202"/>
      <c r="I1295" s="202"/>
      <c r="O1295" s="202"/>
      <c r="R1295" s="202"/>
    </row>
    <row r="1296" spans="3:18" ht="16.5">
      <c r="C1296" s="202"/>
      <c r="D1296" s="202"/>
      <c r="E1296" s="199"/>
      <c r="F1296" s="202"/>
      <c r="G1296" s="202"/>
      <c r="H1296" s="202"/>
      <c r="I1296" s="202"/>
      <c r="O1296" s="202"/>
      <c r="R1296" s="202"/>
    </row>
    <row r="1297" spans="3:18" ht="16.5">
      <c r="C1297" s="202"/>
      <c r="D1297" s="202"/>
      <c r="E1297" s="199"/>
      <c r="F1297" s="202"/>
      <c r="G1297" s="202"/>
      <c r="H1297" s="202"/>
      <c r="I1297" s="202"/>
      <c r="O1297" s="202"/>
      <c r="R1297" s="202"/>
    </row>
    <row r="1298" spans="3:18" ht="16.5">
      <c r="C1298" s="202"/>
      <c r="D1298" s="202"/>
      <c r="E1298" s="199"/>
      <c r="F1298" s="202"/>
      <c r="G1298" s="202"/>
      <c r="H1298" s="202"/>
      <c r="I1298" s="202"/>
      <c r="O1298" s="202"/>
      <c r="R1298" s="202"/>
    </row>
    <row r="1299" spans="3:18" ht="16.5">
      <c r="C1299" s="202"/>
      <c r="D1299" s="202"/>
      <c r="E1299" s="199"/>
      <c r="F1299" s="202"/>
      <c r="G1299" s="202"/>
      <c r="H1299" s="202"/>
      <c r="I1299" s="202"/>
      <c r="O1299" s="202"/>
      <c r="R1299" s="202"/>
    </row>
    <row r="1300" spans="3:18" ht="16.5">
      <c r="C1300" s="202"/>
      <c r="D1300" s="202"/>
      <c r="E1300" s="199"/>
      <c r="F1300" s="202"/>
      <c r="G1300" s="202"/>
      <c r="H1300" s="202"/>
      <c r="I1300" s="202"/>
      <c r="O1300" s="202"/>
      <c r="R1300" s="202"/>
    </row>
    <row r="1301" spans="3:18" ht="16.5">
      <c r="C1301" s="202"/>
      <c r="D1301" s="202"/>
      <c r="E1301" s="199"/>
      <c r="F1301" s="202"/>
      <c r="G1301" s="202"/>
      <c r="H1301" s="202"/>
      <c r="I1301" s="202"/>
      <c r="O1301" s="202"/>
      <c r="R1301" s="202"/>
    </row>
    <row r="1302" spans="3:18" ht="16.5">
      <c r="C1302" s="202"/>
      <c r="D1302" s="202"/>
      <c r="E1302" s="199"/>
      <c r="F1302" s="202"/>
      <c r="G1302" s="202"/>
      <c r="H1302" s="202"/>
      <c r="I1302" s="202"/>
      <c r="O1302" s="202"/>
      <c r="R1302" s="202"/>
    </row>
    <row r="1303" spans="3:18" ht="16.5">
      <c r="C1303" s="202"/>
      <c r="D1303" s="202"/>
      <c r="E1303" s="199"/>
      <c r="F1303" s="202"/>
      <c r="G1303" s="202"/>
      <c r="H1303" s="202"/>
      <c r="I1303" s="202"/>
      <c r="O1303" s="202"/>
      <c r="R1303" s="202"/>
    </row>
    <row r="1304" spans="3:18" ht="16.5">
      <c r="C1304" s="202"/>
      <c r="D1304" s="202"/>
      <c r="E1304" s="199"/>
      <c r="F1304" s="202"/>
      <c r="G1304" s="202"/>
      <c r="H1304" s="202"/>
      <c r="I1304" s="202"/>
      <c r="O1304" s="202"/>
      <c r="R1304" s="202"/>
    </row>
    <row r="1305" spans="3:18" ht="16.5">
      <c r="C1305" s="202"/>
      <c r="D1305" s="202"/>
      <c r="E1305" s="199"/>
      <c r="F1305" s="202"/>
      <c r="G1305" s="202"/>
      <c r="H1305" s="202"/>
      <c r="I1305" s="202"/>
      <c r="O1305" s="202"/>
      <c r="R1305" s="202"/>
    </row>
    <row r="1306" spans="3:18" ht="16.5">
      <c r="C1306" s="202"/>
      <c r="D1306" s="202"/>
      <c r="E1306" s="199"/>
      <c r="F1306" s="202"/>
      <c r="G1306" s="202"/>
      <c r="H1306" s="202"/>
      <c r="I1306" s="202"/>
      <c r="O1306" s="202"/>
      <c r="R1306" s="202"/>
    </row>
    <row r="1307" spans="3:18" ht="16.5">
      <c r="C1307" s="202"/>
      <c r="D1307" s="202"/>
      <c r="E1307" s="199"/>
      <c r="F1307" s="202"/>
      <c r="G1307" s="202"/>
      <c r="H1307" s="202"/>
      <c r="I1307" s="202"/>
      <c r="O1307" s="202"/>
      <c r="R1307" s="202"/>
    </row>
    <row r="1308" spans="3:18" ht="16.5">
      <c r="C1308" s="202"/>
      <c r="D1308" s="202"/>
      <c r="E1308" s="199"/>
      <c r="F1308" s="202"/>
      <c r="G1308" s="202"/>
      <c r="H1308" s="202"/>
      <c r="I1308" s="202"/>
      <c r="O1308" s="202"/>
      <c r="R1308" s="202"/>
    </row>
    <row r="1309" spans="3:18" ht="16.5">
      <c r="C1309" s="202"/>
      <c r="D1309" s="202"/>
      <c r="E1309" s="199"/>
      <c r="F1309" s="202"/>
      <c r="G1309" s="202"/>
      <c r="H1309" s="202"/>
      <c r="I1309" s="202"/>
      <c r="O1309" s="202"/>
      <c r="R1309" s="202"/>
    </row>
    <row r="1310" spans="3:18" ht="16.5">
      <c r="C1310" s="202"/>
      <c r="D1310" s="202"/>
      <c r="E1310" s="199"/>
      <c r="F1310" s="202"/>
      <c r="G1310" s="202"/>
      <c r="H1310" s="202"/>
      <c r="I1310" s="202"/>
      <c r="O1310" s="202"/>
      <c r="R1310" s="202"/>
    </row>
    <row r="1311" spans="3:18" ht="16.5">
      <c r="C1311" s="202"/>
      <c r="D1311" s="202"/>
      <c r="E1311" s="199"/>
      <c r="F1311" s="202"/>
      <c r="G1311" s="202"/>
      <c r="H1311" s="202"/>
      <c r="I1311" s="202"/>
      <c r="O1311" s="202"/>
      <c r="R1311" s="202"/>
    </row>
    <row r="1312" spans="3:18" ht="16.5">
      <c r="C1312" s="202"/>
      <c r="D1312" s="202"/>
      <c r="E1312" s="199"/>
      <c r="F1312" s="202"/>
      <c r="G1312" s="202"/>
      <c r="H1312" s="202"/>
      <c r="I1312" s="202"/>
      <c r="O1312" s="202"/>
      <c r="R1312" s="202"/>
    </row>
    <row r="1313" spans="3:18" ht="16.5">
      <c r="C1313" s="202"/>
      <c r="D1313" s="202"/>
      <c r="E1313" s="199"/>
      <c r="F1313" s="202"/>
      <c r="G1313" s="202"/>
      <c r="H1313" s="202"/>
      <c r="I1313" s="202"/>
      <c r="O1313" s="202"/>
      <c r="R1313" s="202"/>
    </row>
    <row r="1314" spans="3:18" ht="16.5">
      <c r="C1314" s="202"/>
      <c r="D1314" s="202"/>
      <c r="E1314" s="199"/>
      <c r="F1314" s="202"/>
      <c r="G1314" s="202"/>
      <c r="H1314" s="202"/>
      <c r="I1314" s="202"/>
      <c r="O1314" s="202"/>
      <c r="R1314" s="202"/>
    </row>
    <row r="1315" spans="3:18" ht="16.5">
      <c r="C1315" s="202"/>
      <c r="D1315" s="202"/>
      <c r="E1315" s="199"/>
      <c r="F1315" s="202"/>
      <c r="G1315" s="202"/>
      <c r="H1315" s="202"/>
      <c r="I1315" s="202"/>
      <c r="O1315" s="202"/>
      <c r="R1315" s="202"/>
    </row>
    <row r="1316" spans="3:18" ht="16.5">
      <c r="C1316" s="202"/>
      <c r="D1316" s="202"/>
      <c r="E1316" s="199"/>
      <c r="F1316" s="202"/>
      <c r="G1316" s="202"/>
      <c r="H1316" s="202"/>
      <c r="I1316" s="202"/>
      <c r="O1316" s="202"/>
      <c r="R1316" s="202"/>
    </row>
    <row r="1317" spans="3:18" ht="16.5">
      <c r="C1317" s="202"/>
      <c r="D1317" s="202"/>
      <c r="E1317" s="199"/>
      <c r="F1317" s="202"/>
      <c r="G1317" s="202"/>
      <c r="H1317" s="202"/>
      <c r="I1317" s="202"/>
      <c r="O1317" s="202"/>
      <c r="R1317" s="202"/>
    </row>
    <row r="1318" spans="3:18" ht="16.5">
      <c r="C1318" s="202"/>
      <c r="D1318" s="202"/>
      <c r="E1318" s="199"/>
      <c r="F1318" s="202"/>
      <c r="G1318" s="202"/>
      <c r="H1318" s="202"/>
      <c r="I1318" s="202"/>
      <c r="O1318" s="202"/>
      <c r="R1318" s="202"/>
    </row>
    <row r="1319" spans="3:18" ht="16.5">
      <c r="C1319" s="202"/>
      <c r="D1319" s="202"/>
      <c r="E1319" s="199"/>
      <c r="F1319" s="202"/>
      <c r="G1319" s="202"/>
      <c r="H1319" s="202"/>
      <c r="I1319" s="202"/>
      <c r="O1319" s="202"/>
      <c r="R1319" s="202"/>
    </row>
    <row r="1320" spans="3:18" ht="16.5">
      <c r="C1320" s="202"/>
      <c r="D1320" s="202"/>
      <c r="E1320" s="199"/>
      <c r="F1320" s="202"/>
      <c r="G1320" s="202"/>
      <c r="H1320" s="202"/>
      <c r="I1320" s="202"/>
      <c r="O1320" s="202"/>
      <c r="R1320" s="202"/>
    </row>
    <row r="1321" spans="3:18" ht="16.5">
      <c r="C1321" s="202"/>
      <c r="D1321" s="202"/>
      <c r="E1321" s="199"/>
      <c r="F1321" s="202"/>
      <c r="G1321" s="202"/>
      <c r="H1321" s="202"/>
      <c r="I1321" s="202"/>
      <c r="O1321" s="202"/>
      <c r="R1321" s="202"/>
    </row>
    <row r="1322" spans="3:18" ht="16.5">
      <c r="C1322" s="202"/>
      <c r="D1322" s="202"/>
      <c r="E1322" s="199"/>
      <c r="F1322" s="202"/>
      <c r="G1322" s="202"/>
      <c r="H1322" s="202"/>
      <c r="I1322" s="202"/>
      <c r="O1322" s="202"/>
      <c r="R1322" s="202"/>
    </row>
    <row r="1323" spans="3:18" ht="16.5">
      <c r="C1323" s="202"/>
      <c r="D1323" s="202"/>
      <c r="E1323" s="199"/>
      <c r="F1323" s="202"/>
      <c r="G1323" s="202"/>
      <c r="H1323" s="202"/>
      <c r="I1323" s="202"/>
      <c r="O1323" s="202"/>
      <c r="R1323" s="202"/>
    </row>
    <row r="1324" spans="3:18" ht="16.5">
      <c r="C1324" s="202"/>
      <c r="D1324" s="202"/>
      <c r="E1324" s="199"/>
      <c r="F1324" s="202"/>
      <c r="G1324" s="202"/>
      <c r="H1324" s="202"/>
      <c r="I1324" s="202"/>
      <c r="O1324" s="202"/>
      <c r="R1324" s="202"/>
    </row>
    <row r="1325" spans="3:18" ht="16.5">
      <c r="C1325" s="202"/>
      <c r="D1325" s="202"/>
      <c r="E1325" s="199"/>
      <c r="F1325" s="202"/>
      <c r="G1325" s="202"/>
      <c r="H1325" s="202"/>
      <c r="I1325" s="202"/>
      <c r="O1325" s="202"/>
      <c r="R1325" s="202"/>
    </row>
    <row r="1326" spans="3:18" ht="16.5">
      <c r="C1326" s="202"/>
      <c r="D1326" s="202"/>
      <c r="E1326" s="199"/>
      <c r="F1326" s="202"/>
      <c r="G1326" s="202"/>
      <c r="H1326" s="202"/>
      <c r="I1326" s="202"/>
      <c r="O1326" s="202"/>
      <c r="R1326" s="202"/>
    </row>
    <row r="1327" spans="3:18" ht="16.5">
      <c r="C1327" s="202"/>
      <c r="D1327" s="202"/>
      <c r="E1327" s="199"/>
      <c r="F1327" s="202"/>
      <c r="G1327" s="202"/>
      <c r="H1327" s="202"/>
      <c r="I1327" s="202"/>
      <c r="O1327" s="202"/>
      <c r="R1327" s="202"/>
    </row>
    <row r="1328" spans="3:18" ht="16.5">
      <c r="C1328" s="202"/>
      <c r="D1328" s="202"/>
      <c r="E1328" s="199"/>
      <c r="F1328" s="202"/>
      <c r="G1328" s="202"/>
      <c r="H1328" s="202"/>
      <c r="I1328" s="202"/>
      <c r="O1328" s="202"/>
      <c r="R1328" s="202"/>
    </row>
    <row r="1329" spans="3:18" ht="16.5">
      <c r="C1329" s="202"/>
      <c r="D1329" s="202"/>
      <c r="E1329" s="199"/>
      <c r="F1329" s="202"/>
      <c r="G1329" s="202"/>
      <c r="H1329" s="202"/>
      <c r="I1329" s="202"/>
      <c r="O1329" s="202"/>
      <c r="R1329" s="202"/>
    </row>
    <row r="1330" spans="3:18" ht="16.5">
      <c r="C1330" s="202"/>
      <c r="D1330" s="202"/>
      <c r="E1330" s="199"/>
      <c r="F1330" s="202"/>
      <c r="G1330" s="202"/>
      <c r="H1330" s="202"/>
      <c r="I1330" s="202"/>
      <c r="O1330" s="202"/>
      <c r="R1330" s="202"/>
    </row>
    <row r="1331" spans="3:18" ht="16.5">
      <c r="C1331" s="202"/>
      <c r="D1331" s="202"/>
      <c r="E1331" s="199"/>
      <c r="F1331" s="202"/>
      <c r="G1331" s="202"/>
      <c r="H1331" s="202"/>
      <c r="I1331" s="202"/>
      <c r="O1331" s="202"/>
      <c r="R1331" s="202"/>
    </row>
    <row r="1332" spans="3:18" ht="16.5">
      <c r="C1332" s="202"/>
      <c r="D1332" s="202"/>
      <c r="E1332" s="199"/>
      <c r="F1332" s="202"/>
      <c r="G1332" s="202"/>
      <c r="H1332" s="202"/>
      <c r="I1332" s="202"/>
      <c r="O1332" s="202"/>
      <c r="R1332" s="202"/>
    </row>
    <row r="1333" spans="3:18" ht="16.5">
      <c r="C1333" s="202"/>
      <c r="D1333" s="202"/>
      <c r="E1333" s="199"/>
      <c r="F1333" s="202"/>
      <c r="G1333" s="202"/>
      <c r="H1333" s="202"/>
      <c r="I1333" s="202"/>
      <c r="O1333" s="202"/>
      <c r="R1333" s="202"/>
    </row>
    <row r="1334" spans="3:18" ht="16.5">
      <c r="C1334" s="202"/>
      <c r="D1334" s="202"/>
      <c r="E1334" s="199"/>
      <c r="F1334" s="202"/>
      <c r="G1334" s="202"/>
      <c r="H1334" s="202"/>
      <c r="I1334" s="202"/>
      <c r="O1334" s="202"/>
      <c r="R1334" s="202"/>
    </row>
    <row r="1335" spans="3:18" ht="16.5">
      <c r="C1335" s="202"/>
      <c r="D1335" s="202"/>
      <c r="E1335" s="199"/>
      <c r="F1335" s="202"/>
      <c r="G1335" s="202"/>
      <c r="H1335" s="202"/>
      <c r="I1335" s="202"/>
      <c r="O1335" s="202"/>
      <c r="R1335" s="202"/>
    </row>
    <row r="1336" spans="3:18" ht="16.5">
      <c r="C1336" s="202"/>
      <c r="D1336" s="202"/>
      <c r="E1336" s="199"/>
      <c r="F1336" s="202"/>
      <c r="G1336" s="202"/>
      <c r="H1336" s="202"/>
      <c r="I1336" s="202"/>
      <c r="O1336" s="202"/>
      <c r="R1336" s="202"/>
    </row>
    <row r="1337" spans="3:18" ht="16.5">
      <c r="C1337" s="202"/>
      <c r="D1337" s="202"/>
      <c r="E1337" s="199"/>
      <c r="F1337" s="202"/>
      <c r="G1337" s="202"/>
      <c r="H1337" s="202"/>
      <c r="I1337" s="202"/>
      <c r="O1337" s="202"/>
      <c r="R1337" s="202"/>
    </row>
    <row r="1338" spans="3:18" ht="16.5">
      <c r="C1338" s="202"/>
      <c r="D1338" s="202"/>
      <c r="E1338" s="199"/>
      <c r="F1338" s="202"/>
      <c r="G1338" s="202"/>
      <c r="H1338" s="202"/>
      <c r="I1338" s="202"/>
      <c r="O1338" s="202"/>
      <c r="R1338" s="202"/>
    </row>
    <row r="1339" spans="3:18" ht="16.5">
      <c r="C1339" s="202"/>
      <c r="D1339" s="202"/>
      <c r="E1339" s="199"/>
      <c r="F1339" s="202"/>
      <c r="G1339" s="202"/>
      <c r="H1339" s="202"/>
      <c r="I1339" s="202"/>
      <c r="O1339" s="202"/>
      <c r="R1339" s="202"/>
    </row>
    <row r="1340" spans="3:18" ht="16.5">
      <c r="C1340" s="202"/>
      <c r="D1340" s="202"/>
      <c r="E1340" s="199"/>
      <c r="F1340" s="202"/>
      <c r="G1340" s="202"/>
      <c r="H1340" s="202"/>
      <c r="I1340" s="202"/>
      <c r="O1340" s="202"/>
      <c r="R1340" s="202"/>
    </row>
    <row r="1341" spans="3:18" ht="16.5">
      <c r="C1341" s="202"/>
      <c r="D1341" s="202"/>
      <c r="E1341" s="199"/>
      <c r="F1341" s="202"/>
      <c r="G1341" s="202"/>
      <c r="H1341" s="202"/>
      <c r="I1341" s="202"/>
      <c r="O1341" s="202"/>
      <c r="R1341" s="202"/>
    </row>
    <row r="1342" spans="3:18" ht="16.5">
      <c r="C1342" s="202"/>
      <c r="D1342" s="202"/>
      <c r="E1342" s="199"/>
      <c r="F1342" s="202"/>
      <c r="G1342" s="202"/>
      <c r="H1342" s="202"/>
      <c r="I1342" s="202"/>
      <c r="O1342" s="202"/>
      <c r="R1342" s="202"/>
    </row>
    <row r="1343" spans="3:18" ht="16.5">
      <c r="C1343" s="202"/>
      <c r="D1343" s="202"/>
      <c r="E1343" s="199"/>
      <c r="F1343" s="202"/>
      <c r="G1343" s="202"/>
      <c r="H1343" s="202"/>
      <c r="I1343" s="202"/>
      <c r="O1343" s="202"/>
      <c r="R1343" s="202"/>
    </row>
    <row r="1344" spans="3:18" ht="16.5">
      <c r="C1344" s="202"/>
      <c r="D1344" s="202"/>
      <c r="E1344" s="199"/>
      <c r="F1344" s="202"/>
      <c r="G1344" s="202"/>
      <c r="H1344" s="202"/>
      <c r="I1344" s="202"/>
      <c r="O1344" s="202"/>
      <c r="R1344" s="202"/>
    </row>
    <row r="1345" spans="3:18" ht="16.5">
      <c r="C1345" s="202"/>
      <c r="D1345" s="202"/>
      <c r="E1345" s="199"/>
      <c r="F1345" s="202"/>
      <c r="G1345" s="202"/>
      <c r="H1345" s="202"/>
      <c r="I1345" s="202"/>
      <c r="O1345" s="202"/>
      <c r="R1345" s="202"/>
    </row>
    <row r="1346" spans="3:18" ht="16.5">
      <c r="C1346" s="202"/>
      <c r="D1346" s="202"/>
      <c r="E1346" s="199"/>
      <c r="F1346" s="202"/>
      <c r="G1346" s="202"/>
      <c r="H1346" s="202"/>
      <c r="I1346" s="202"/>
      <c r="O1346" s="202"/>
      <c r="R1346" s="202"/>
    </row>
    <row r="1347" spans="3:18" ht="16.5">
      <c r="C1347" s="202"/>
      <c r="D1347" s="202"/>
      <c r="E1347" s="199"/>
      <c r="F1347" s="202"/>
      <c r="G1347" s="202"/>
      <c r="H1347" s="202"/>
      <c r="I1347" s="202"/>
      <c r="O1347" s="202"/>
      <c r="R1347" s="202"/>
    </row>
    <row r="1348" spans="3:18" ht="16.5">
      <c r="C1348" s="202"/>
      <c r="D1348" s="202"/>
      <c r="E1348" s="199"/>
      <c r="F1348" s="202"/>
      <c r="G1348" s="202"/>
      <c r="H1348" s="202"/>
      <c r="I1348" s="202"/>
      <c r="O1348" s="202"/>
      <c r="R1348" s="202"/>
    </row>
    <row r="1349" spans="3:18" ht="16.5">
      <c r="C1349" s="202"/>
      <c r="D1349" s="202"/>
      <c r="E1349" s="199"/>
      <c r="F1349" s="202"/>
      <c r="G1349" s="202"/>
      <c r="H1349" s="202"/>
      <c r="I1349" s="202"/>
      <c r="O1349" s="202"/>
      <c r="R1349" s="202"/>
    </row>
    <row r="1350" spans="3:18" ht="16.5">
      <c r="C1350" s="202"/>
      <c r="D1350" s="202"/>
      <c r="E1350" s="199"/>
      <c r="F1350" s="202"/>
      <c r="G1350" s="202"/>
      <c r="H1350" s="202"/>
      <c r="I1350" s="202"/>
      <c r="O1350" s="202"/>
      <c r="R1350" s="202"/>
    </row>
    <row r="1351" spans="3:18" ht="16.5">
      <c r="C1351" s="202"/>
      <c r="D1351" s="202"/>
      <c r="E1351" s="199"/>
      <c r="F1351" s="202"/>
      <c r="G1351" s="202"/>
      <c r="H1351" s="202"/>
      <c r="I1351" s="202"/>
      <c r="O1351" s="202"/>
      <c r="R1351" s="202"/>
    </row>
    <row r="1352" spans="3:18" ht="16.5">
      <c r="C1352" s="202"/>
      <c r="D1352" s="202"/>
      <c r="E1352" s="199"/>
      <c r="F1352" s="202"/>
      <c r="G1352" s="202"/>
      <c r="H1352" s="202"/>
      <c r="I1352" s="202"/>
      <c r="O1352" s="202"/>
      <c r="R1352" s="202"/>
    </row>
    <row r="1353" spans="3:18" ht="16.5">
      <c r="C1353" s="202"/>
      <c r="D1353" s="202"/>
      <c r="E1353" s="199"/>
      <c r="F1353" s="202"/>
      <c r="G1353" s="202"/>
      <c r="H1353" s="202"/>
      <c r="I1353" s="202"/>
      <c r="O1353" s="202"/>
      <c r="R1353" s="202"/>
    </row>
    <row r="1354" spans="3:18" ht="16.5">
      <c r="C1354" s="202"/>
      <c r="D1354" s="202"/>
      <c r="E1354" s="199"/>
      <c r="F1354" s="202"/>
      <c r="G1354" s="202"/>
      <c r="H1354" s="202"/>
      <c r="I1354" s="202"/>
      <c r="O1354" s="202"/>
      <c r="R1354" s="202"/>
    </row>
    <row r="1355" spans="3:18" ht="16.5">
      <c r="C1355" s="202"/>
      <c r="D1355" s="202"/>
      <c r="E1355" s="199"/>
      <c r="F1355" s="202"/>
      <c r="G1355" s="202"/>
      <c r="H1355" s="202"/>
      <c r="I1355" s="202"/>
      <c r="O1355" s="202"/>
      <c r="R1355" s="202"/>
    </row>
    <row r="1356" spans="3:18" ht="16.5">
      <c r="C1356" s="202"/>
      <c r="D1356" s="202"/>
      <c r="E1356" s="199"/>
      <c r="F1356" s="202"/>
      <c r="G1356" s="202"/>
      <c r="H1356" s="202"/>
      <c r="I1356" s="202"/>
      <c r="O1356" s="202"/>
      <c r="R1356" s="202"/>
    </row>
    <row r="1357" spans="3:18" ht="16.5">
      <c r="C1357" s="202"/>
      <c r="D1357" s="202"/>
      <c r="E1357" s="199"/>
      <c r="F1357" s="202"/>
      <c r="G1357" s="202"/>
      <c r="H1357" s="202"/>
      <c r="I1357" s="202"/>
      <c r="O1357" s="202"/>
      <c r="R1357" s="202"/>
    </row>
    <row r="1358" spans="3:18" ht="16.5">
      <c r="C1358" s="202"/>
      <c r="D1358" s="202"/>
      <c r="E1358" s="199"/>
      <c r="F1358" s="202"/>
      <c r="G1358" s="202"/>
      <c r="H1358" s="202"/>
      <c r="I1358" s="202"/>
      <c r="O1358" s="202"/>
      <c r="R1358" s="202"/>
    </row>
    <row r="1359" spans="3:18" ht="16.5">
      <c r="C1359" s="202"/>
      <c r="D1359" s="202"/>
      <c r="E1359" s="199"/>
      <c r="F1359" s="202"/>
      <c r="G1359" s="202"/>
      <c r="H1359" s="202"/>
      <c r="I1359" s="202"/>
      <c r="O1359" s="202"/>
      <c r="R1359" s="202"/>
    </row>
    <row r="1360" spans="3:18" ht="16.5">
      <c r="C1360" s="202"/>
      <c r="D1360" s="202"/>
      <c r="E1360" s="199"/>
      <c r="F1360" s="202"/>
      <c r="G1360" s="202"/>
      <c r="H1360" s="202"/>
      <c r="I1360" s="202"/>
      <c r="O1360" s="202"/>
      <c r="R1360" s="202"/>
    </row>
    <row r="1361" spans="3:18" ht="16.5">
      <c r="C1361" s="202"/>
      <c r="D1361" s="202"/>
      <c r="E1361" s="199"/>
      <c r="F1361" s="202"/>
      <c r="G1361" s="202"/>
      <c r="H1361" s="202"/>
      <c r="I1361" s="202"/>
      <c r="O1361" s="202"/>
      <c r="R1361" s="202"/>
    </row>
    <row r="1362" spans="3:18" ht="16.5">
      <c r="C1362" s="202"/>
      <c r="D1362" s="202"/>
      <c r="E1362" s="199"/>
      <c r="F1362" s="202"/>
      <c r="G1362" s="202"/>
      <c r="H1362" s="202"/>
      <c r="I1362" s="202"/>
      <c r="O1362" s="202"/>
      <c r="R1362" s="202"/>
    </row>
    <row r="1363" spans="3:18" ht="16.5">
      <c r="C1363" s="202"/>
      <c r="D1363" s="202"/>
      <c r="E1363" s="199"/>
      <c r="F1363" s="202"/>
      <c r="G1363" s="202"/>
      <c r="H1363" s="202"/>
      <c r="I1363" s="202"/>
      <c r="O1363" s="202"/>
      <c r="R1363" s="202"/>
    </row>
    <row r="1364" spans="3:18" ht="16.5">
      <c r="C1364" s="202"/>
      <c r="D1364" s="202"/>
      <c r="E1364" s="199"/>
      <c r="F1364" s="202"/>
      <c r="G1364" s="202"/>
      <c r="H1364" s="202"/>
      <c r="I1364" s="202"/>
      <c r="O1364" s="202"/>
      <c r="R1364" s="202"/>
    </row>
    <row r="1365" spans="3:18" ht="16.5">
      <c r="C1365" s="202"/>
      <c r="D1365" s="202"/>
      <c r="E1365" s="199"/>
      <c r="F1365" s="202"/>
      <c r="G1365" s="202"/>
      <c r="H1365" s="202"/>
      <c r="I1365" s="202"/>
      <c r="O1365" s="202"/>
      <c r="R1365" s="202"/>
    </row>
    <row r="1366" spans="3:18" ht="16.5">
      <c r="C1366" s="202"/>
      <c r="D1366" s="202"/>
      <c r="E1366" s="199"/>
      <c r="F1366" s="202"/>
      <c r="G1366" s="202"/>
      <c r="H1366" s="202"/>
      <c r="I1366" s="202"/>
      <c r="O1366" s="202"/>
      <c r="R1366" s="202"/>
    </row>
    <row r="1367" spans="3:18" ht="16.5">
      <c r="C1367" s="202"/>
      <c r="D1367" s="202"/>
      <c r="E1367" s="199"/>
      <c r="F1367" s="202"/>
      <c r="G1367" s="202"/>
      <c r="H1367" s="202"/>
      <c r="I1367" s="202"/>
      <c r="O1367" s="202"/>
      <c r="R1367" s="202"/>
    </row>
    <row r="1368" spans="3:18" ht="16.5">
      <c r="C1368" s="202"/>
      <c r="D1368" s="202"/>
      <c r="E1368" s="199"/>
      <c r="F1368" s="202"/>
      <c r="G1368" s="202"/>
      <c r="H1368" s="202"/>
      <c r="I1368" s="202"/>
      <c r="O1368" s="202"/>
      <c r="R1368" s="202"/>
    </row>
    <row r="1369" spans="3:18" ht="16.5">
      <c r="C1369" s="202"/>
      <c r="D1369" s="202"/>
      <c r="E1369" s="199"/>
      <c r="F1369" s="202"/>
      <c r="G1369" s="202"/>
      <c r="H1369" s="202"/>
      <c r="I1369" s="202"/>
      <c r="O1369" s="202"/>
      <c r="R1369" s="202"/>
    </row>
    <row r="1370" spans="3:18" ht="16.5">
      <c r="C1370" s="202"/>
      <c r="D1370" s="202"/>
      <c r="E1370" s="199"/>
      <c r="F1370" s="202"/>
      <c r="G1370" s="202"/>
      <c r="H1370" s="202"/>
      <c r="I1370" s="202"/>
      <c r="O1370" s="202"/>
      <c r="R1370" s="202"/>
    </row>
    <row r="1371" spans="3:18" ht="16.5">
      <c r="C1371" s="202"/>
      <c r="D1371" s="202"/>
      <c r="E1371" s="199"/>
      <c r="F1371" s="202"/>
      <c r="G1371" s="202"/>
      <c r="H1371" s="202"/>
      <c r="I1371" s="202"/>
      <c r="O1371" s="202"/>
      <c r="R1371" s="202"/>
    </row>
    <row r="1372" spans="3:18" ht="16.5">
      <c r="C1372" s="202"/>
      <c r="D1372" s="202"/>
      <c r="E1372" s="199"/>
      <c r="F1372" s="202"/>
      <c r="G1372" s="202"/>
      <c r="H1372" s="202"/>
      <c r="I1372" s="202"/>
      <c r="O1372" s="202"/>
      <c r="R1372" s="202"/>
    </row>
    <row r="1373" spans="3:18" ht="16.5">
      <c r="C1373" s="202"/>
      <c r="D1373" s="202"/>
      <c r="E1373" s="199"/>
      <c r="F1373" s="202"/>
      <c r="G1373" s="202"/>
      <c r="H1373" s="202"/>
      <c r="I1373" s="202"/>
      <c r="O1373" s="202"/>
      <c r="R1373" s="202"/>
    </row>
    <row r="1374" spans="3:18" ht="16.5">
      <c r="C1374" s="202"/>
      <c r="D1374" s="202"/>
      <c r="E1374" s="199"/>
      <c r="F1374" s="202"/>
      <c r="G1374" s="202"/>
      <c r="H1374" s="202"/>
      <c r="I1374" s="202"/>
      <c r="O1374" s="202"/>
      <c r="R1374" s="202"/>
    </row>
    <row r="1375" spans="3:18" ht="16.5">
      <c r="C1375" s="202"/>
      <c r="D1375" s="202"/>
      <c r="E1375" s="199"/>
      <c r="F1375" s="202"/>
      <c r="G1375" s="202"/>
      <c r="H1375" s="202"/>
      <c r="I1375" s="202"/>
      <c r="O1375" s="202"/>
      <c r="R1375" s="202"/>
    </row>
    <row r="1376" spans="3:18" ht="16.5">
      <c r="C1376" s="202"/>
      <c r="D1376" s="202"/>
      <c r="E1376" s="199"/>
      <c r="F1376" s="202"/>
      <c r="G1376" s="202"/>
      <c r="H1376" s="202"/>
      <c r="I1376" s="202"/>
      <c r="O1376" s="202"/>
      <c r="R1376" s="202"/>
    </row>
    <row r="1377" spans="3:18" ht="16.5">
      <c r="C1377" s="202"/>
      <c r="D1377" s="202"/>
      <c r="E1377" s="199"/>
      <c r="F1377" s="202"/>
      <c r="G1377" s="202"/>
      <c r="H1377" s="202"/>
      <c r="I1377" s="202"/>
      <c r="O1377" s="202"/>
      <c r="R1377" s="202"/>
    </row>
    <row r="1378" spans="3:18" ht="16.5">
      <c r="C1378" s="202"/>
      <c r="D1378" s="202"/>
      <c r="E1378" s="199"/>
      <c r="F1378" s="202"/>
      <c r="G1378" s="202"/>
      <c r="H1378" s="202"/>
      <c r="I1378" s="202"/>
      <c r="O1378" s="202"/>
      <c r="R1378" s="202"/>
    </row>
    <row r="1379" spans="3:18" ht="16.5">
      <c r="C1379" s="202"/>
      <c r="D1379" s="202"/>
      <c r="E1379" s="199"/>
      <c r="F1379" s="202"/>
      <c r="G1379" s="202"/>
      <c r="H1379" s="202"/>
      <c r="I1379" s="202"/>
      <c r="O1379" s="202"/>
      <c r="R1379" s="202"/>
    </row>
    <row r="1380" spans="3:18" ht="16.5">
      <c r="C1380" s="202"/>
      <c r="D1380" s="202"/>
      <c r="E1380" s="199"/>
      <c r="F1380" s="202"/>
      <c r="G1380" s="202"/>
      <c r="H1380" s="202"/>
      <c r="I1380" s="202"/>
      <c r="O1380" s="202"/>
      <c r="R1380" s="202"/>
    </row>
    <row r="1381" spans="3:18" ht="16.5">
      <c r="C1381" s="202"/>
      <c r="D1381" s="202"/>
      <c r="E1381" s="199"/>
      <c r="F1381" s="202"/>
      <c r="G1381" s="202"/>
      <c r="H1381" s="202"/>
      <c r="I1381" s="202"/>
      <c r="O1381" s="202"/>
      <c r="R1381" s="202"/>
    </row>
    <row r="1382" spans="3:18" ht="16.5">
      <c r="C1382" s="202"/>
      <c r="D1382" s="202"/>
      <c r="E1382" s="199"/>
      <c r="F1382" s="202"/>
      <c r="G1382" s="202"/>
      <c r="H1382" s="202"/>
      <c r="I1382" s="202"/>
      <c r="O1382" s="202"/>
      <c r="R1382" s="202"/>
    </row>
    <row r="1383" spans="3:18" ht="16.5">
      <c r="C1383" s="202"/>
      <c r="D1383" s="202"/>
      <c r="E1383" s="199"/>
      <c r="F1383" s="202"/>
      <c r="G1383" s="202"/>
      <c r="H1383" s="202"/>
      <c r="I1383" s="202"/>
      <c r="O1383" s="202"/>
      <c r="R1383" s="202"/>
    </row>
    <row r="1384" spans="3:18" ht="16.5">
      <c r="C1384" s="202"/>
      <c r="D1384" s="202"/>
      <c r="E1384" s="199"/>
      <c r="F1384" s="202"/>
      <c r="G1384" s="202"/>
      <c r="H1384" s="202"/>
      <c r="I1384" s="202"/>
      <c r="O1384" s="202"/>
      <c r="R1384" s="202"/>
    </row>
    <row r="1385" spans="3:18" ht="16.5">
      <c r="C1385" s="202"/>
      <c r="D1385" s="202"/>
      <c r="E1385" s="199"/>
      <c r="F1385" s="202"/>
      <c r="G1385" s="202"/>
      <c r="H1385" s="202"/>
      <c r="I1385" s="202"/>
      <c r="O1385" s="202"/>
      <c r="R1385" s="202"/>
    </row>
    <row r="1386" spans="3:18" ht="16.5">
      <c r="C1386" s="202"/>
      <c r="D1386" s="202"/>
      <c r="E1386" s="199"/>
      <c r="F1386" s="202"/>
      <c r="G1386" s="202"/>
      <c r="H1386" s="202"/>
      <c r="I1386" s="202"/>
      <c r="O1386" s="202"/>
      <c r="R1386" s="202"/>
    </row>
    <row r="1387" spans="3:18" ht="16.5">
      <c r="C1387" s="202"/>
      <c r="D1387" s="202"/>
      <c r="E1387" s="199"/>
      <c r="F1387" s="202"/>
      <c r="G1387" s="202"/>
      <c r="H1387" s="202"/>
      <c r="I1387" s="202"/>
      <c r="O1387" s="202"/>
      <c r="R1387" s="202"/>
    </row>
    <row r="1388" spans="3:18" ht="16.5">
      <c r="C1388" s="202"/>
      <c r="D1388" s="202"/>
      <c r="E1388" s="199"/>
      <c r="F1388" s="202"/>
      <c r="G1388" s="202"/>
      <c r="H1388" s="202"/>
      <c r="I1388" s="202"/>
      <c r="O1388" s="202"/>
      <c r="R1388" s="202"/>
    </row>
    <row r="1389" spans="3:18" ht="16.5">
      <c r="C1389" s="202"/>
      <c r="D1389" s="202"/>
      <c r="E1389" s="199"/>
      <c r="F1389" s="202"/>
      <c r="G1389" s="202"/>
      <c r="H1389" s="202"/>
      <c r="I1389" s="202"/>
      <c r="O1389" s="202"/>
      <c r="R1389" s="202"/>
    </row>
    <row r="1390" spans="3:18" ht="16.5">
      <c r="C1390" s="202"/>
      <c r="D1390" s="202"/>
      <c r="E1390" s="199"/>
      <c r="F1390" s="202"/>
      <c r="G1390" s="202"/>
      <c r="H1390" s="202"/>
      <c r="I1390" s="202"/>
      <c r="O1390" s="202"/>
      <c r="R1390" s="202"/>
    </row>
    <row r="1391" spans="3:18" ht="16.5">
      <c r="C1391" s="202"/>
      <c r="D1391" s="202"/>
      <c r="E1391" s="199"/>
      <c r="F1391" s="202"/>
      <c r="G1391" s="202"/>
      <c r="H1391" s="202"/>
      <c r="I1391" s="202"/>
      <c r="O1391" s="202"/>
      <c r="R1391" s="202"/>
    </row>
    <row r="1392" spans="3:18" ht="16.5">
      <c r="C1392" s="202"/>
      <c r="D1392" s="202"/>
      <c r="E1392" s="199"/>
      <c r="F1392" s="202"/>
      <c r="G1392" s="202"/>
      <c r="H1392" s="202"/>
      <c r="I1392" s="202"/>
      <c r="O1392" s="202"/>
      <c r="R1392" s="202"/>
    </row>
    <row r="1393" spans="3:18" ht="16.5">
      <c r="C1393" s="202"/>
      <c r="D1393" s="202"/>
      <c r="E1393" s="199"/>
      <c r="F1393" s="202"/>
      <c r="G1393" s="202"/>
      <c r="H1393" s="202"/>
      <c r="I1393" s="202"/>
      <c r="O1393" s="202"/>
      <c r="R1393" s="202"/>
    </row>
    <row r="1394" spans="3:18" ht="16.5">
      <c r="C1394" s="202"/>
      <c r="D1394" s="202"/>
      <c r="E1394" s="199"/>
      <c r="F1394" s="202"/>
      <c r="G1394" s="202"/>
      <c r="H1394" s="202"/>
      <c r="I1394" s="202"/>
      <c r="O1394" s="202"/>
      <c r="R1394" s="202"/>
    </row>
    <row r="1395" spans="3:18" ht="16.5">
      <c r="C1395" s="202"/>
      <c r="D1395" s="202"/>
      <c r="E1395" s="199"/>
      <c r="F1395" s="202"/>
      <c r="G1395" s="202"/>
      <c r="H1395" s="202"/>
      <c r="I1395" s="202"/>
      <c r="O1395" s="202"/>
      <c r="R1395" s="202"/>
    </row>
    <row r="1396" spans="3:18" ht="16.5">
      <c r="C1396" s="202"/>
      <c r="D1396" s="202"/>
      <c r="E1396" s="199"/>
      <c r="F1396" s="202"/>
      <c r="G1396" s="202"/>
      <c r="H1396" s="202"/>
      <c r="I1396" s="202"/>
      <c r="O1396" s="202"/>
      <c r="R1396" s="202"/>
    </row>
    <row r="1397" spans="3:18" ht="16.5">
      <c r="C1397" s="202"/>
      <c r="D1397" s="202"/>
      <c r="E1397" s="199"/>
      <c r="F1397" s="202"/>
      <c r="G1397" s="202"/>
      <c r="H1397" s="202"/>
      <c r="I1397" s="202"/>
      <c r="O1397" s="202"/>
      <c r="R1397" s="202"/>
    </row>
    <row r="1398" spans="3:18" ht="16.5">
      <c r="C1398" s="202"/>
      <c r="D1398" s="202"/>
      <c r="E1398" s="199"/>
      <c r="F1398" s="202"/>
      <c r="G1398" s="202"/>
      <c r="H1398" s="202"/>
      <c r="I1398" s="202"/>
      <c r="O1398" s="202"/>
      <c r="R1398" s="202"/>
    </row>
    <row r="1399" spans="3:18" ht="16.5">
      <c r="C1399" s="202"/>
      <c r="D1399" s="202"/>
      <c r="E1399" s="199"/>
      <c r="F1399" s="202"/>
      <c r="G1399" s="202"/>
      <c r="H1399" s="202"/>
      <c r="I1399" s="202"/>
      <c r="O1399" s="202"/>
      <c r="R1399" s="202"/>
    </row>
    <row r="1400" spans="3:18" ht="16.5">
      <c r="C1400" s="202"/>
      <c r="D1400" s="202"/>
      <c r="E1400" s="199"/>
      <c r="F1400" s="202"/>
      <c r="G1400" s="202"/>
      <c r="H1400" s="202"/>
      <c r="I1400" s="202"/>
      <c r="O1400" s="202"/>
      <c r="R1400" s="202"/>
    </row>
    <row r="1401" spans="3:18" ht="16.5">
      <c r="C1401" s="202"/>
      <c r="D1401" s="202"/>
      <c r="E1401" s="199"/>
      <c r="F1401" s="202"/>
      <c r="G1401" s="202"/>
      <c r="H1401" s="202"/>
      <c r="I1401" s="202"/>
      <c r="O1401" s="202"/>
      <c r="R1401" s="202"/>
    </row>
    <row r="1402" spans="3:18" ht="16.5">
      <c r="C1402" s="202"/>
      <c r="D1402" s="202"/>
      <c r="E1402" s="199"/>
      <c r="F1402" s="202"/>
      <c r="G1402" s="202"/>
      <c r="H1402" s="202"/>
      <c r="I1402" s="202"/>
      <c r="O1402" s="202"/>
      <c r="R1402" s="202"/>
    </row>
    <row r="1403" spans="3:18" ht="16.5">
      <c r="C1403" s="202"/>
      <c r="D1403" s="202"/>
      <c r="E1403" s="199"/>
      <c r="F1403" s="202"/>
      <c r="G1403" s="202"/>
      <c r="H1403" s="202"/>
      <c r="I1403" s="202"/>
      <c r="O1403" s="202"/>
      <c r="R1403" s="202"/>
    </row>
    <row r="1404" spans="3:18" ht="16.5">
      <c r="C1404" s="202"/>
      <c r="D1404" s="202"/>
      <c r="E1404" s="199"/>
      <c r="F1404" s="202"/>
      <c r="G1404" s="202"/>
      <c r="H1404" s="202"/>
      <c r="I1404" s="202"/>
      <c r="O1404" s="202"/>
      <c r="R1404" s="202"/>
    </row>
    <row r="1405" spans="3:18" ht="16.5">
      <c r="C1405" s="202"/>
      <c r="D1405" s="202"/>
      <c r="E1405" s="199"/>
      <c r="F1405" s="202"/>
      <c r="G1405" s="202"/>
      <c r="H1405" s="202"/>
      <c r="I1405" s="202"/>
      <c r="O1405" s="202"/>
      <c r="R1405" s="202"/>
    </row>
    <row r="1406" spans="3:18" ht="16.5">
      <c r="C1406" s="202"/>
      <c r="D1406" s="202"/>
      <c r="E1406" s="199"/>
      <c r="F1406" s="202"/>
      <c r="G1406" s="202"/>
      <c r="H1406" s="202"/>
      <c r="I1406" s="202"/>
      <c r="O1406" s="202"/>
      <c r="R1406" s="202"/>
    </row>
    <row r="1407" spans="3:18" ht="16.5">
      <c r="C1407" s="202"/>
      <c r="D1407" s="202"/>
      <c r="E1407" s="199"/>
      <c r="F1407" s="202"/>
      <c r="G1407" s="202"/>
      <c r="H1407" s="202"/>
      <c r="I1407" s="202"/>
      <c r="O1407" s="202"/>
      <c r="R1407" s="202"/>
    </row>
    <row r="1408" spans="3:18" ht="16.5">
      <c r="C1408" s="202"/>
      <c r="D1408" s="202"/>
      <c r="E1408" s="199"/>
      <c r="F1408" s="202"/>
      <c r="G1408" s="202"/>
      <c r="H1408" s="202"/>
      <c r="I1408" s="202"/>
      <c r="O1408" s="202"/>
      <c r="R1408" s="202"/>
    </row>
    <row r="1409" spans="3:18" ht="16.5">
      <c r="C1409" s="202"/>
      <c r="D1409" s="202"/>
      <c r="E1409" s="199"/>
      <c r="F1409" s="202"/>
      <c r="G1409" s="202"/>
      <c r="H1409" s="202"/>
      <c r="I1409" s="202"/>
      <c r="O1409" s="202"/>
      <c r="R1409" s="202"/>
    </row>
    <row r="1410" spans="3:18" ht="16.5">
      <c r="C1410" s="202"/>
      <c r="D1410" s="202"/>
      <c r="E1410" s="199"/>
      <c r="F1410" s="202"/>
      <c r="G1410" s="202"/>
      <c r="H1410" s="202"/>
      <c r="I1410" s="202"/>
      <c r="O1410" s="202"/>
      <c r="R1410" s="202"/>
    </row>
    <row r="1411" spans="3:18" ht="16.5">
      <c r="C1411" s="202"/>
      <c r="D1411" s="202"/>
      <c r="E1411" s="199"/>
      <c r="F1411" s="202"/>
      <c r="G1411" s="202"/>
      <c r="H1411" s="202"/>
      <c r="I1411" s="202"/>
      <c r="O1411" s="202"/>
      <c r="R1411" s="202"/>
    </row>
    <row r="1412" spans="3:18" ht="16.5">
      <c r="C1412" s="202"/>
      <c r="D1412" s="202"/>
      <c r="E1412" s="199"/>
      <c r="F1412" s="202"/>
      <c r="G1412" s="202"/>
      <c r="H1412" s="202"/>
      <c r="I1412" s="202"/>
      <c r="O1412" s="202"/>
      <c r="R1412" s="202"/>
    </row>
    <row r="1413" spans="3:18" ht="16.5">
      <c r="C1413" s="202"/>
      <c r="D1413" s="202"/>
      <c r="E1413" s="199"/>
      <c r="F1413" s="202"/>
      <c r="G1413" s="202"/>
      <c r="H1413" s="202"/>
      <c r="I1413" s="202"/>
      <c r="O1413" s="202"/>
      <c r="R1413" s="202"/>
    </row>
    <row r="1414" spans="3:18" ht="16.5">
      <c r="C1414" s="202"/>
      <c r="D1414" s="202"/>
      <c r="E1414" s="199"/>
      <c r="F1414" s="202"/>
      <c r="G1414" s="202"/>
      <c r="H1414" s="202"/>
      <c r="I1414" s="202"/>
      <c r="O1414" s="202"/>
      <c r="R1414" s="202"/>
    </row>
    <row r="1415" spans="3:18" ht="16.5">
      <c r="C1415" s="202"/>
      <c r="D1415" s="202"/>
      <c r="E1415" s="199"/>
      <c r="F1415" s="202"/>
      <c r="G1415" s="202"/>
      <c r="H1415" s="202"/>
      <c r="I1415" s="202"/>
      <c r="O1415" s="202"/>
      <c r="R1415" s="202"/>
    </row>
    <row r="1416" spans="3:18" ht="16.5">
      <c r="C1416" s="202"/>
      <c r="D1416" s="202"/>
      <c r="E1416" s="199"/>
      <c r="F1416" s="202"/>
      <c r="G1416" s="202"/>
      <c r="H1416" s="202"/>
      <c r="I1416" s="202"/>
      <c r="O1416" s="202"/>
      <c r="R1416" s="202"/>
    </row>
    <row r="1417" spans="3:18" ht="16.5">
      <c r="C1417" s="202"/>
      <c r="D1417" s="202"/>
      <c r="E1417" s="199"/>
      <c r="F1417" s="202"/>
      <c r="G1417" s="202"/>
      <c r="H1417" s="202"/>
      <c r="I1417" s="202"/>
      <c r="O1417" s="202"/>
      <c r="R1417" s="202"/>
    </row>
    <row r="1418" spans="3:18" ht="16.5">
      <c r="C1418" s="202"/>
      <c r="D1418" s="202"/>
      <c r="E1418" s="199"/>
      <c r="F1418" s="202"/>
      <c r="G1418" s="202"/>
      <c r="H1418" s="202"/>
      <c r="I1418" s="202"/>
      <c r="O1418" s="202"/>
      <c r="R1418" s="202"/>
    </row>
    <row r="1419" spans="3:18" ht="16.5">
      <c r="C1419" s="202"/>
      <c r="D1419" s="202"/>
      <c r="E1419" s="199"/>
      <c r="F1419" s="202"/>
      <c r="G1419" s="202"/>
      <c r="H1419" s="202"/>
      <c r="I1419" s="202"/>
      <c r="O1419" s="202"/>
      <c r="R1419" s="202"/>
    </row>
    <row r="1420" spans="3:18" ht="16.5">
      <c r="C1420" s="202"/>
      <c r="D1420" s="202"/>
      <c r="E1420" s="199"/>
      <c r="F1420" s="202"/>
      <c r="G1420" s="202"/>
      <c r="H1420" s="202"/>
      <c r="I1420" s="202"/>
      <c r="O1420" s="202"/>
      <c r="R1420" s="202"/>
    </row>
    <row r="1421" spans="3:18" ht="16.5">
      <c r="C1421" s="202"/>
      <c r="D1421" s="202"/>
      <c r="E1421" s="199"/>
      <c r="F1421" s="202"/>
      <c r="G1421" s="202"/>
      <c r="H1421" s="202"/>
      <c r="I1421" s="202"/>
      <c r="O1421" s="202"/>
      <c r="R1421" s="202"/>
    </row>
    <row r="1422" spans="3:18" ht="16.5">
      <c r="C1422" s="202"/>
      <c r="D1422" s="202"/>
      <c r="E1422" s="199"/>
      <c r="F1422" s="202"/>
      <c r="G1422" s="202"/>
      <c r="H1422" s="202"/>
      <c r="I1422" s="202"/>
      <c r="O1422" s="202"/>
      <c r="R1422" s="202"/>
    </row>
    <row r="1423" spans="3:18" ht="16.5">
      <c r="C1423" s="202"/>
      <c r="D1423" s="202"/>
      <c r="E1423" s="199"/>
      <c r="F1423" s="202"/>
      <c r="G1423" s="202"/>
      <c r="H1423" s="202"/>
      <c r="I1423" s="202"/>
      <c r="O1423" s="202"/>
      <c r="R1423" s="202"/>
    </row>
    <row r="1424" spans="3:18" ht="16.5">
      <c r="C1424" s="202"/>
      <c r="D1424" s="202"/>
      <c r="E1424" s="199"/>
      <c r="F1424" s="202"/>
      <c r="G1424" s="202"/>
      <c r="H1424" s="202"/>
      <c r="I1424" s="202"/>
      <c r="O1424" s="202"/>
      <c r="R1424" s="202"/>
    </row>
    <row r="1425" spans="3:18" ht="16.5">
      <c r="C1425" s="202"/>
      <c r="D1425" s="202"/>
      <c r="E1425" s="199"/>
      <c r="F1425" s="202"/>
      <c r="G1425" s="202"/>
      <c r="H1425" s="202"/>
      <c r="I1425" s="202"/>
      <c r="O1425" s="202"/>
      <c r="R1425" s="202"/>
    </row>
    <row r="1426" spans="3:18" ht="16.5">
      <c r="C1426" s="202"/>
      <c r="D1426" s="202"/>
      <c r="E1426" s="199"/>
      <c r="F1426" s="202"/>
      <c r="G1426" s="202"/>
      <c r="H1426" s="202"/>
      <c r="I1426" s="202"/>
      <c r="O1426" s="202"/>
      <c r="R1426" s="202"/>
    </row>
    <row r="1427" spans="3:18" ht="16.5">
      <c r="C1427" s="202"/>
      <c r="D1427" s="202"/>
      <c r="E1427" s="199"/>
      <c r="F1427" s="202"/>
      <c r="G1427" s="202"/>
      <c r="H1427" s="202"/>
      <c r="I1427" s="202"/>
      <c r="O1427" s="202"/>
      <c r="R1427" s="202"/>
    </row>
    <row r="1428" spans="3:18" ht="16.5">
      <c r="C1428" s="202"/>
      <c r="D1428" s="202"/>
      <c r="E1428" s="199"/>
      <c r="F1428" s="202"/>
      <c r="G1428" s="202"/>
      <c r="H1428" s="202"/>
      <c r="I1428" s="202"/>
      <c r="O1428" s="202"/>
      <c r="R1428" s="202"/>
    </row>
    <row r="1429" spans="3:18" ht="16.5">
      <c r="C1429" s="202"/>
      <c r="D1429" s="202"/>
      <c r="E1429" s="199"/>
      <c r="F1429" s="202"/>
      <c r="G1429" s="202"/>
      <c r="H1429" s="202"/>
      <c r="I1429" s="202"/>
      <c r="O1429" s="202"/>
      <c r="R1429" s="202"/>
    </row>
    <row r="1430" spans="3:18" ht="16.5">
      <c r="C1430" s="202"/>
      <c r="D1430" s="202"/>
      <c r="E1430" s="199"/>
      <c r="F1430" s="202"/>
      <c r="G1430" s="202"/>
      <c r="H1430" s="202"/>
      <c r="I1430" s="202"/>
      <c r="O1430" s="202"/>
      <c r="R1430" s="202"/>
    </row>
    <row r="1431" spans="3:18" ht="16.5">
      <c r="C1431" s="202"/>
      <c r="D1431" s="202"/>
      <c r="E1431" s="199"/>
      <c r="F1431" s="202"/>
      <c r="G1431" s="202"/>
      <c r="H1431" s="202"/>
      <c r="I1431" s="202"/>
      <c r="O1431" s="202"/>
      <c r="R1431" s="202"/>
    </row>
    <row r="1432" spans="3:18" ht="16.5">
      <c r="C1432" s="202"/>
      <c r="D1432" s="202"/>
      <c r="E1432" s="199"/>
      <c r="F1432" s="202"/>
      <c r="G1432" s="202"/>
      <c r="H1432" s="202"/>
      <c r="I1432" s="202"/>
      <c r="O1432" s="202"/>
      <c r="R1432" s="202"/>
    </row>
    <row r="1433" spans="3:18" ht="16.5">
      <c r="C1433" s="202"/>
      <c r="D1433" s="202"/>
      <c r="E1433" s="199"/>
      <c r="F1433" s="202"/>
      <c r="G1433" s="202"/>
      <c r="H1433" s="202"/>
      <c r="I1433" s="202"/>
      <c r="O1433" s="202"/>
      <c r="R1433" s="202"/>
    </row>
    <row r="1434" spans="3:18" ht="16.5">
      <c r="C1434" s="202"/>
      <c r="D1434" s="202"/>
      <c r="E1434" s="199"/>
      <c r="F1434" s="202"/>
      <c r="G1434" s="202"/>
      <c r="H1434" s="202"/>
      <c r="I1434" s="202"/>
      <c r="O1434" s="202"/>
      <c r="R1434" s="202"/>
    </row>
    <row r="1435" spans="3:18" ht="16.5">
      <c r="C1435" s="202"/>
      <c r="D1435" s="202"/>
      <c r="E1435" s="199"/>
      <c r="F1435" s="202"/>
      <c r="G1435" s="202"/>
      <c r="H1435" s="202"/>
      <c r="I1435" s="202"/>
      <c r="O1435" s="202"/>
      <c r="R1435" s="202"/>
    </row>
    <row r="1436" spans="3:18" ht="16.5">
      <c r="C1436" s="202"/>
      <c r="D1436" s="202"/>
      <c r="E1436" s="199"/>
      <c r="F1436" s="202"/>
      <c r="G1436" s="202"/>
      <c r="H1436" s="202"/>
      <c r="I1436" s="202"/>
      <c r="O1436" s="202"/>
      <c r="R1436" s="202"/>
    </row>
    <row r="1437" spans="3:18" ht="16.5">
      <c r="C1437" s="202"/>
      <c r="D1437" s="202"/>
      <c r="E1437" s="199"/>
      <c r="F1437" s="202"/>
      <c r="G1437" s="202"/>
      <c r="H1437" s="202"/>
      <c r="I1437" s="202"/>
      <c r="O1437" s="202"/>
      <c r="R1437" s="202"/>
    </row>
    <row r="1438" spans="3:18" ht="16.5">
      <c r="C1438" s="202"/>
      <c r="D1438" s="202"/>
      <c r="E1438" s="199"/>
      <c r="F1438" s="202"/>
      <c r="G1438" s="202"/>
      <c r="H1438" s="202"/>
      <c r="I1438" s="202"/>
      <c r="O1438" s="202"/>
      <c r="R1438" s="202"/>
    </row>
    <row r="1439" spans="3:18" ht="16.5">
      <c r="C1439" s="202"/>
      <c r="D1439" s="202"/>
      <c r="E1439" s="199"/>
      <c r="F1439" s="202"/>
      <c r="G1439" s="202"/>
      <c r="H1439" s="202"/>
      <c r="I1439" s="202"/>
      <c r="O1439" s="202"/>
      <c r="R1439" s="202"/>
    </row>
    <row r="1440" spans="3:18" ht="16.5">
      <c r="C1440" s="202"/>
      <c r="D1440" s="202"/>
      <c r="E1440" s="199"/>
      <c r="F1440" s="202"/>
      <c r="G1440" s="202"/>
      <c r="H1440" s="202"/>
      <c r="I1440" s="202"/>
      <c r="O1440" s="202"/>
      <c r="R1440" s="202"/>
    </row>
    <row r="1441" spans="3:18" ht="16.5">
      <c r="C1441" s="202"/>
      <c r="D1441" s="202"/>
      <c r="E1441" s="199"/>
      <c r="F1441" s="202"/>
      <c r="G1441" s="202"/>
      <c r="H1441" s="202"/>
      <c r="I1441" s="202"/>
      <c r="O1441" s="202"/>
      <c r="R1441" s="202"/>
    </row>
    <row r="1442" spans="3:18" ht="16.5">
      <c r="C1442" s="202"/>
      <c r="D1442" s="202"/>
      <c r="E1442" s="199"/>
      <c r="F1442" s="202"/>
      <c r="G1442" s="202"/>
      <c r="H1442" s="202"/>
      <c r="I1442" s="202"/>
      <c r="O1442" s="202"/>
      <c r="R1442" s="202"/>
    </row>
    <row r="1443" spans="3:18" ht="16.5">
      <c r="C1443" s="202"/>
      <c r="D1443" s="202"/>
      <c r="E1443" s="199"/>
      <c r="F1443" s="202"/>
      <c r="G1443" s="202"/>
      <c r="H1443" s="202"/>
      <c r="I1443" s="202"/>
      <c r="O1443" s="202"/>
      <c r="R1443" s="202"/>
    </row>
    <row r="1444" spans="3:18" ht="16.5">
      <c r="C1444" s="202"/>
      <c r="D1444" s="202"/>
      <c r="E1444" s="199"/>
      <c r="F1444" s="202"/>
      <c r="G1444" s="202"/>
      <c r="H1444" s="202"/>
      <c r="I1444" s="202"/>
      <c r="O1444" s="202"/>
      <c r="R1444" s="202"/>
    </row>
    <row r="1445" spans="3:18" ht="16.5">
      <c r="C1445" s="202"/>
      <c r="D1445" s="202"/>
      <c r="E1445" s="199"/>
      <c r="F1445" s="202"/>
      <c r="G1445" s="202"/>
      <c r="H1445" s="202"/>
      <c r="I1445" s="202"/>
      <c r="O1445" s="202"/>
      <c r="R1445" s="202"/>
    </row>
    <row r="1446" spans="3:18" ht="16.5">
      <c r="C1446" s="202"/>
      <c r="D1446" s="202"/>
      <c r="E1446" s="199"/>
      <c r="F1446" s="202"/>
      <c r="G1446" s="202"/>
      <c r="H1446" s="202"/>
      <c r="I1446" s="202"/>
      <c r="O1446" s="202"/>
      <c r="R1446" s="202"/>
    </row>
    <row r="1447" spans="3:18" ht="16.5">
      <c r="C1447" s="202"/>
      <c r="D1447" s="202"/>
      <c r="E1447" s="199"/>
      <c r="F1447" s="202"/>
      <c r="G1447" s="202"/>
      <c r="H1447" s="202"/>
      <c r="I1447" s="202"/>
      <c r="O1447" s="202"/>
      <c r="R1447" s="202"/>
    </row>
    <row r="1448" spans="3:18" ht="16.5">
      <c r="C1448" s="202"/>
      <c r="D1448" s="202"/>
      <c r="E1448" s="199"/>
      <c r="F1448" s="202"/>
      <c r="G1448" s="202"/>
      <c r="H1448" s="202"/>
      <c r="I1448" s="202"/>
      <c r="O1448" s="202"/>
      <c r="R1448" s="202"/>
    </row>
    <row r="1449" spans="3:18" ht="16.5">
      <c r="C1449" s="202"/>
      <c r="D1449" s="202"/>
      <c r="E1449" s="199"/>
      <c r="F1449" s="202"/>
      <c r="G1449" s="202"/>
      <c r="H1449" s="202"/>
      <c r="I1449" s="202"/>
      <c r="O1449" s="202"/>
      <c r="R1449" s="202"/>
    </row>
    <row r="1450" spans="3:18" ht="16.5">
      <c r="C1450" s="202"/>
      <c r="D1450" s="202"/>
      <c r="E1450" s="199"/>
      <c r="F1450" s="202"/>
      <c r="G1450" s="202"/>
      <c r="H1450" s="202"/>
      <c r="I1450" s="202"/>
      <c r="O1450" s="202"/>
      <c r="R1450" s="202"/>
    </row>
    <row r="1451" spans="3:18" ht="16.5">
      <c r="C1451" s="202"/>
      <c r="D1451" s="202"/>
      <c r="E1451" s="199"/>
      <c r="F1451" s="202"/>
      <c r="G1451" s="202"/>
      <c r="H1451" s="202"/>
      <c r="I1451" s="202"/>
      <c r="O1451" s="202"/>
      <c r="R1451" s="202"/>
    </row>
    <row r="1452" spans="3:18" ht="16.5">
      <c r="C1452" s="202"/>
      <c r="D1452" s="202"/>
      <c r="E1452" s="199"/>
      <c r="F1452" s="202"/>
      <c r="G1452" s="202"/>
      <c r="H1452" s="202"/>
      <c r="I1452" s="202"/>
      <c r="O1452" s="202"/>
      <c r="R1452" s="202"/>
    </row>
    <row r="1453" spans="3:18" ht="16.5">
      <c r="C1453" s="202"/>
      <c r="D1453" s="202"/>
      <c r="E1453" s="199"/>
      <c r="F1453" s="202"/>
      <c r="G1453" s="202"/>
      <c r="H1453" s="202"/>
      <c r="I1453" s="202"/>
      <c r="O1453" s="202"/>
      <c r="R1453" s="202"/>
    </row>
    <row r="1454" spans="3:18" ht="16.5">
      <c r="C1454" s="202"/>
      <c r="D1454" s="202"/>
      <c r="E1454" s="199"/>
      <c r="F1454" s="202"/>
      <c r="G1454" s="202"/>
      <c r="H1454" s="202"/>
      <c r="I1454" s="202"/>
      <c r="O1454" s="202"/>
      <c r="R1454" s="202"/>
    </row>
    <row r="1455" spans="3:18" ht="16.5">
      <c r="C1455" s="202"/>
      <c r="D1455" s="202"/>
      <c r="E1455" s="199"/>
      <c r="F1455" s="202"/>
      <c r="G1455" s="202"/>
      <c r="H1455" s="202"/>
      <c r="I1455" s="202"/>
      <c r="O1455" s="202"/>
      <c r="R1455" s="202"/>
    </row>
    <row r="1456" spans="3:18" ht="16.5">
      <c r="C1456" s="202"/>
      <c r="D1456" s="202"/>
      <c r="E1456" s="199"/>
      <c r="F1456" s="202"/>
      <c r="G1456" s="202"/>
      <c r="H1456" s="202"/>
      <c r="I1456" s="202"/>
      <c r="O1456" s="202"/>
      <c r="R1456" s="202"/>
    </row>
    <row r="1457" spans="3:18" ht="16.5">
      <c r="C1457" s="202"/>
      <c r="D1457" s="202"/>
      <c r="E1457" s="199"/>
      <c r="F1457" s="202"/>
      <c r="G1457" s="202"/>
      <c r="H1457" s="202"/>
      <c r="I1457" s="202"/>
      <c r="O1457" s="202"/>
      <c r="R1457" s="202"/>
    </row>
    <row r="1458" spans="3:18" ht="16.5">
      <c r="C1458" s="202"/>
      <c r="D1458" s="202"/>
      <c r="E1458" s="199"/>
      <c r="F1458" s="202"/>
      <c r="G1458" s="202"/>
      <c r="H1458" s="202"/>
      <c r="I1458" s="202"/>
      <c r="O1458" s="202"/>
      <c r="R1458" s="202"/>
    </row>
    <row r="1459" spans="3:18" ht="16.5">
      <c r="C1459" s="202"/>
      <c r="D1459" s="202"/>
      <c r="E1459" s="199"/>
      <c r="F1459" s="202"/>
      <c r="G1459" s="202"/>
      <c r="H1459" s="202"/>
      <c r="I1459" s="202"/>
      <c r="O1459" s="202"/>
      <c r="R1459" s="202"/>
    </row>
    <row r="1460" spans="3:18" ht="16.5">
      <c r="C1460" s="202"/>
      <c r="D1460" s="202"/>
      <c r="E1460" s="199"/>
      <c r="F1460" s="202"/>
      <c r="G1460" s="202"/>
      <c r="H1460" s="202"/>
      <c r="I1460" s="202"/>
      <c r="O1460" s="202"/>
      <c r="R1460" s="202"/>
    </row>
    <row r="1461" spans="3:18" ht="16.5">
      <c r="C1461" s="202"/>
      <c r="D1461" s="202"/>
      <c r="E1461" s="199"/>
      <c r="F1461" s="202"/>
      <c r="G1461" s="202"/>
      <c r="H1461" s="202"/>
      <c r="I1461" s="202"/>
      <c r="O1461" s="202"/>
      <c r="R1461" s="202"/>
    </row>
    <row r="1462" spans="3:18" ht="16.5">
      <c r="C1462" s="202"/>
      <c r="D1462" s="202"/>
      <c r="E1462" s="199"/>
      <c r="F1462" s="202"/>
      <c r="G1462" s="202"/>
      <c r="H1462" s="202"/>
      <c r="I1462" s="202"/>
      <c r="O1462" s="202"/>
      <c r="R1462" s="202"/>
    </row>
    <row r="1463" spans="3:18" ht="16.5">
      <c r="C1463" s="202"/>
      <c r="D1463" s="202"/>
      <c r="E1463" s="199"/>
      <c r="F1463" s="202"/>
      <c r="G1463" s="202"/>
      <c r="H1463" s="202"/>
      <c r="I1463" s="202"/>
      <c r="O1463" s="202"/>
      <c r="R1463" s="202"/>
    </row>
    <row r="1464" spans="3:18" ht="16.5">
      <c r="C1464" s="202"/>
      <c r="D1464" s="202"/>
      <c r="E1464" s="199"/>
      <c r="F1464" s="202"/>
      <c r="G1464" s="202"/>
      <c r="H1464" s="202"/>
      <c r="I1464" s="202"/>
      <c r="O1464" s="202"/>
      <c r="R1464" s="202"/>
    </row>
    <row r="1465" spans="3:18" ht="16.5">
      <c r="C1465" s="202"/>
      <c r="D1465" s="202"/>
      <c r="E1465" s="199"/>
      <c r="F1465" s="202"/>
      <c r="G1465" s="202"/>
      <c r="H1465" s="202"/>
      <c r="I1465" s="202"/>
      <c r="O1465" s="202"/>
      <c r="R1465" s="202"/>
    </row>
    <row r="1466" spans="3:18" ht="16.5">
      <c r="C1466" s="202"/>
      <c r="D1466" s="202"/>
      <c r="E1466" s="199"/>
      <c r="F1466" s="202"/>
      <c r="G1466" s="202"/>
      <c r="H1466" s="202"/>
      <c r="I1466" s="202"/>
      <c r="O1466" s="202"/>
      <c r="R1466" s="202"/>
    </row>
    <row r="1467" spans="3:18" ht="16.5">
      <c r="C1467" s="202"/>
      <c r="D1467" s="202"/>
      <c r="E1467" s="199"/>
      <c r="F1467" s="202"/>
      <c r="G1467" s="202"/>
      <c r="H1467" s="202"/>
      <c r="I1467" s="202"/>
      <c r="O1467" s="202"/>
      <c r="R1467" s="202"/>
    </row>
    <row r="1468" spans="3:18" ht="16.5">
      <c r="C1468" s="202"/>
      <c r="D1468" s="202"/>
      <c r="E1468" s="199"/>
      <c r="F1468" s="202"/>
      <c r="G1468" s="202"/>
      <c r="H1468" s="202"/>
      <c r="I1468" s="202"/>
      <c r="O1468" s="202"/>
      <c r="R1468" s="202"/>
    </row>
    <row r="1469" spans="3:18" ht="16.5">
      <c r="C1469" s="202"/>
      <c r="D1469" s="202"/>
      <c r="E1469" s="199"/>
      <c r="F1469" s="202"/>
      <c r="G1469" s="202"/>
      <c r="H1469" s="202"/>
      <c r="I1469" s="202"/>
      <c r="O1469" s="202"/>
      <c r="R1469" s="202"/>
    </row>
    <row r="1470" spans="3:18" ht="16.5">
      <c r="C1470" s="202"/>
      <c r="D1470" s="202"/>
      <c r="E1470" s="199"/>
      <c r="F1470" s="202"/>
      <c r="G1470" s="202"/>
      <c r="H1470" s="202"/>
      <c r="I1470" s="202"/>
      <c r="O1470" s="202"/>
      <c r="R1470" s="202"/>
    </row>
    <row r="1471" spans="3:18" ht="16.5">
      <c r="C1471" s="202"/>
      <c r="D1471" s="202"/>
      <c r="E1471" s="199"/>
      <c r="F1471" s="202"/>
      <c r="G1471" s="202"/>
      <c r="H1471" s="202"/>
      <c r="I1471" s="202"/>
      <c r="O1471" s="202"/>
      <c r="R1471" s="202"/>
    </row>
    <row r="1472" spans="3:18" ht="16.5">
      <c r="C1472" s="202"/>
      <c r="D1472" s="202"/>
      <c r="E1472" s="199"/>
      <c r="F1472" s="202"/>
      <c r="G1472" s="202"/>
      <c r="H1472" s="202"/>
      <c r="I1472" s="202"/>
      <c r="O1472" s="202"/>
      <c r="R1472" s="202"/>
    </row>
    <row r="1473" spans="3:18" ht="16.5">
      <c r="C1473" s="202"/>
      <c r="D1473" s="202"/>
      <c r="E1473" s="199"/>
      <c r="F1473" s="202"/>
      <c r="G1473" s="202"/>
      <c r="H1473" s="202"/>
      <c r="I1473" s="202"/>
      <c r="O1473" s="202"/>
      <c r="R1473" s="202"/>
    </row>
    <row r="1474" spans="3:18" ht="16.5">
      <c r="C1474" s="202"/>
      <c r="D1474" s="202"/>
      <c r="E1474" s="199"/>
      <c r="F1474" s="202"/>
      <c r="G1474" s="202"/>
      <c r="H1474" s="202"/>
      <c r="I1474" s="202"/>
      <c r="O1474" s="202"/>
      <c r="R1474" s="202"/>
    </row>
    <row r="1475" spans="3:18" ht="16.5">
      <c r="C1475" s="202"/>
      <c r="D1475" s="202"/>
      <c r="E1475" s="199"/>
      <c r="F1475" s="202"/>
      <c r="G1475" s="202"/>
      <c r="H1475" s="202"/>
      <c r="I1475" s="202"/>
      <c r="O1475" s="202"/>
      <c r="R1475" s="202"/>
    </row>
    <row r="1476" spans="3:18" ht="16.5">
      <c r="C1476" s="202"/>
      <c r="D1476" s="202"/>
      <c r="E1476" s="199"/>
      <c r="F1476" s="202"/>
      <c r="G1476" s="202"/>
      <c r="H1476" s="202"/>
      <c r="I1476" s="202"/>
      <c r="O1476" s="202"/>
      <c r="R1476" s="202"/>
    </row>
    <row r="1477" spans="3:18" ht="16.5">
      <c r="C1477" s="202"/>
      <c r="D1477" s="202"/>
      <c r="E1477" s="199"/>
      <c r="F1477" s="202"/>
      <c r="G1477" s="202"/>
      <c r="H1477" s="202"/>
      <c r="I1477" s="202"/>
      <c r="O1477" s="202"/>
      <c r="R1477" s="202"/>
    </row>
    <row r="1478" spans="3:18" ht="16.5">
      <c r="C1478" s="202"/>
      <c r="D1478" s="202"/>
      <c r="E1478" s="199"/>
      <c r="F1478" s="202"/>
      <c r="G1478" s="202"/>
      <c r="H1478" s="202"/>
      <c r="I1478" s="202"/>
      <c r="O1478" s="202"/>
      <c r="R1478" s="202"/>
    </row>
    <row r="1479" spans="3:18" ht="16.5">
      <c r="C1479" s="202"/>
      <c r="D1479" s="202"/>
      <c r="E1479" s="199"/>
      <c r="F1479" s="202"/>
      <c r="G1479" s="202"/>
      <c r="H1479" s="202"/>
      <c r="I1479" s="202"/>
      <c r="O1479" s="202"/>
      <c r="R1479" s="202"/>
    </row>
    <row r="1480" spans="3:18" ht="16.5">
      <c r="C1480" s="202"/>
      <c r="D1480" s="202"/>
      <c r="E1480" s="199"/>
      <c r="F1480" s="202"/>
      <c r="G1480" s="202"/>
      <c r="H1480" s="202"/>
      <c r="I1480" s="202"/>
      <c r="O1480" s="202"/>
      <c r="R1480" s="202"/>
    </row>
    <row r="1481" spans="3:18" ht="16.5">
      <c r="C1481" s="202"/>
      <c r="D1481" s="202"/>
      <c r="E1481" s="199"/>
      <c r="F1481" s="202"/>
      <c r="G1481" s="202"/>
      <c r="H1481" s="202"/>
      <c r="I1481" s="202"/>
      <c r="O1481" s="202"/>
      <c r="R1481" s="202"/>
    </row>
    <row r="1482" spans="3:18" ht="16.5">
      <c r="C1482" s="202"/>
      <c r="D1482" s="202"/>
      <c r="E1482" s="199"/>
      <c r="F1482" s="202"/>
      <c r="G1482" s="202"/>
      <c r="H1482" s="202"/>
      <c r="I1482" s="202"/>
      <c r="O1482" s="202"/>
      <c r="R1482" s="202"/>
    </row>
    <row r="1483" spans="3:18" ht="16.5">
      <c r="C1483" s="202"/>
      <c r="D1483" s="202"/>
      <c r="E1483" s="199"/>
      <c r="F1483" s="202"/>
      <c r="G1483" s="202"/>
      <c r="H1483" s="202"/>
      <c r="I1483" s="202"/>
      <c r="O1483" s="202"/>
      <c r="R1483" s="202"/>
    </row>
    <row r="1484" spans="3:18" ht="16.5">
      <c r="C1484" s="202"/>
      <c r="D1484" s="202"/>
      <c r="E1484" s="199"/>
      <c r="F1484" s="202"/>
      <c r="G1484" s="202"/>
      <c r="H1484" s="202"/>
      <c r="I1484" s="202"/>
      <c r="O1484" s="202"/>
      <c r="R1484" s="202"/>
    </row>
    <row r="1485" spans="3:18" ht="16.5">
      <c r="C1485" s="202"/>
      <c r="D1485" s="202"/>
      <c r="E1485" s="199"/>
      <c r="F1485" s="202"/>
      <c r="G1485" s="202"/>
      <c r="H1485" s="202"/>
      <c r="I1485" s="202"/>
      <c r="O1485" s="202"/>
      <c r="R1485" s="202"/>
    </row>
    <row r="1486" spans="3:18" ht="16.5">
      <c r="C1486" s="202"/>
      <c r="D1486" s="202"/>
      <c r="E1486" s="199"/>
      <c r="F1486" s="202"/>
      <c r="G1486" s="202"/>
      <c r="H1486" s="202"/>
      <c r="I1486" s="202"/>
      <c r="O1486" s="202"/>
      <c r="R1486" s="202"/>
    </row>
    <row r="1487" spans="3:18" ht="16.5">
      <c r="C1487" s="202"/>
      <c r="D1487" s="202"/>
      <c r="E1487" s="199"/>
      <c r="F1487" s="202"/>
      <c r="G1487" s="202"/>
      <c r="H1487" s="202"/>
      <c r="I1487" s="202"/>
      <c r="O1487" s="202"/>
      <c r="R1487" s="202"/>
    </row>
    <row r="1488" spans="3:18" ht="16.5">
      <c r="C1488" s="202"/>
      <c r="D1488" s="202"/>
      <c r="E1488" s="199"/>
      <c r="F1488" s="202"/>
      <c r="G1488" s="202"/>
      <c r="H1488" s="202"/>
      <c r="I1488" s="202"/>
      <c r="O1488" s="202"/>
      <c r="R1488" s="202"/>
    </row>
    <row r="1489" spans="3:18" ht="16.5">
      <c r="C1489" s="202"/>
      <c r="D1489" s="202"/>
      <c r="E1489" s="199"/>
      <c r="F1489" s="202"/>
      <c r="G1489" s="202"/>
      <c r="H1489" s="202"/>
      <c r="I1489" s="202"/>
      <c r="O1489" s="202"/>
      <c r="R1489" s="202"/>
    </row>
    <row r="1490" spans="3:18" ht="16.5">
      <c r="C1490" s="202"/>
      <c r="D1490" s="202"/>
      <c r="E1490" s="199"/>
      <c r="F1490" s="202"/>
      <c r="G1490" s="202"/>
      <c r="H1490" s="202"/>
      <c r="I1490" s="202"/>
      <c r="O1490" s="202"/>
      <c r="R1490" s="202"/>
    </row>
    <row r="1491" spans="3:18" ht="16.5">
      <c r="C1491" s="202"/>
      <c r="D1491" s="202"/>
      <c r="E1491" s="199"/>
      <c r="F1491" s="202"/>
      <c r="G1491" s="202"/>
      <c r="H1491" s="202"/>
      <c r="I1491" s="202"/>
      <c r="O1491" s="202"/>
      <c r="R1491" s="202"/>
    </row>
    <row r="1492" spans="3:18" ht="16.5">
      <c r="C1492" s="202"/>
      <c r="D1492" s="202"/>
      <c r="E1492" s="199"/>
      <c r="F1492" s="202"/>
      <c r="G1492" s="202"/>
      <c r="H1492" s="202"/>
      <c r="I1492" s="202"/>
      <c r="O1492" s="202"/>
      <c r="R1492" s="202"/>
    </row>
    <row r="1493" spans="3:18" ht="16.5">
      <c r="C1493" s="202"/>
      <c r="D1493" s="202"/>
      <c r="E1493" s="199"/>
      <c r="F1493" s="202"/>
      <c r="G1493" s="202"/>
      <c r="H1493" s="202"/>
      <c r="I1493" s="202"/>
      <c r="O1493" s="202"/>
      <c r="R1493" s="202"/>
    </row>
    <row r="1494" spans="3:18" ht="16.5">
      <c r="C1494" s="202"/>
      <c r="D1494" s="202"/>
      <c r="E1494" s="199"/>
      <c r="F1494" s="202"/>
      <c r="G1494" s="202"/>
      <c r="H1494" s="202"/>
      <c r="I1494" s="202"/>
      <c r="O1494" s="202"/>
      <c r="R1494" s="202"/>
    </row>
    <row r="1495" spans="3:18" ht="16.5">
      <c r="C1495" s="202"/>
      <c r="D1495" s="202"/>
      <c r="E1495" s="199"/>
      <c r="F1495" s="202"/>
      <c r="G1495" s="202"/>
      <c r="H1495" s="202"/>
      <c r="I1495" s="202"/>
      <c r="O1495" s="202"/>
      <c r="R1495" s="202"/>
    </row>
    <row r="1496" spans="3:18" ht="16.5">
      <c r="C1496" s="202"/>
      <c r="D1496" s="202"/>
      <c r="E1496" s="199"/>
      <c r="F1496" s="202"/>
      <c r="G1496" s="202"/>
      <c r="H1496" s="202"/>
      <c r="I1496" s="202"/>
      <c r="O1496" s="202"/>
      <c r="R1496" s="202"/>
    </row>
    <row r="1497" spans="3:18" ht="16.5">
      <c r="C1497" s="202"/>
      <c r="D1497" s="202"/>
      <c r="E1497" s="199"/>
      <c r="F1497" s="202"/>
      <c r="G1497" s="202"/>
      <c r="H1497" s="202"/>
      <c r="I1497" s="202"/>
      <c r="O1497" s="202"/>
      <c r="R1497" s="202"/>
    </row>
    <row r="1498" spans="3:18" ht="16.5">
      <c r="C1498" s="202"/>
      <c r="D1498" s="202"/>
      <c r="E1498" s="199"/>
      <c r="F1498" s="202"/>
      <c r="G1498" s="202"/>
      <c r="H1498" s="202"/>
      <c r="I1498" s="202"/>
      <c r="O1498" s="202"/>
      <c r="R1498" s="202"/>
    </row>
    <row r="1499" spans="3:18" ht="16.5">
      <c r="C1499" s="202"/>
      <c r="D1499" s="202"/>
      <c r="E1499" s="199"/>
      <c r="F1499" s="202"/>
      <c r="G1499" s="202"/>
      <c r="H1499" s="202"/>
      <c r="I1499" s="202"/>
      <c r="O1499" s="202"/>
      <c r="R1499" s="202"/>
    </row>
    <row r="1500" spans="3:18" ht="16.5">
      <c r="C1500" s="202"/>
      <c r="D1500" s="202"/>
      <c r="E1500" s="199"/>
      <c r="F1500" s="202"/>
      <c r="G1500" s="202"/>
      <c r="H1500" s="202"/>
      <c r="I1500" s="202"/>
      <c r="O1500" s="202"/>
      <c r="R1500" s="202"/>
    </row>
    <row r="1501" spans="3:18" ht="16.5">
      <c r="C1501" s="202"/>
      <c r="D1501" s="202"/>
      <c r="E1501" s="199"/>
      <c r="F1501" s="202"/>
      <c r="G1501" s="202"/>
      <c r="H1501" s="202"/>
      <c r="I1501" s="202"/>
      <c r="O1501" s="202"/>
      <c r="R1501" s="202"/>
    </row>
    <row r="1502" spans="3:18" ht="16.5">
      <c r="C1502" s="202"/>
      <c r="D1502" s="202"/>
      <c r="E1502" s="199"/>
      <c r="F1502" s="202"/>
      <c r="G1502" s="202"/>
      <c r="H1502" s="202"/>
      <c r="I1502" s="202"/>
      <c r="O1502" s="202"/>
      <c r="R1502" s="202"/>
    </row>
    <row r="1503" spans="3:18" ht="16.5">
      <c r="C1503" s="202"/>
      <c r="D1503" s="202"/>
      <c r="E1503" s="199"/>
      <c r="F1503" s="202"/>
      <c r="G1503" s="202"/>
      <c r="H1503" s="202"/>
      <c r="I1503" s="202"/>
      <c r="O1503" s="202"/>
      <c r="R1503" s="202"/>
    </row>
    <row r="1504" spans="3:18" ht="16.5">
      <c r="C1504" s="202"/>
      <c r="D1504" s="202"/>
      <c r="E1504" s="199"/>
      <c r="F1504" s="202"/>
      <c r="G1504" s="202"/>
      <c r="H1504" s="202"/>
      <c r="I1504" s="202"/>
      <c r="O1504" s="202"/>
      <c r="R1504" s="202"/>
    </row>
    <row r="1505" spans="3:18" ht="16.5">
      <c r="C1505" s="202"/>
      <c r="D1505" s="202"/>
      <c r="E1505" s="199"/>
      <c r="F1505" s="202"/>
      <c r="G1505" s="202"/>
      <c r="H1505" s="202"/>
      <c r="I1505" s="202"/>
      <c r="O1505" s="202"/>
      <c r="R1505" s="202"/>
    </row>
    <row r="1506" spans="3:18" ht="16.5">
      <c r="C1506" s="202"/>
      <c r="D1506" s="202"/>
      <c r="E1506" s="199"/>
      <c r="F1506" s="202"/>
      <c r="G1506" s="202"/>
      <c r="H1506" s="202"/>
      <c r="I1506" s="202"/>
      <c r="O1506" s="202"/>
      <c r="R1506" s="202"/>
    </row>
    <row r="1507" spans="3:18" ht="16.5">
      <c r="C1507" s="202"/>
      <c r="D1507" s="202"/>
      <c r="E1507" s="199"/>
      <c r="F1507" s="202"/>
      <c r="G1507" s="202"/>
      <c r="H1507" s="202"/>
      <c r="I1507" s="202"/>
      <c r="O1507" s="202"/>
      <c r="R1507" s="202"/>
    </row>
    <row r="1508" spans="3:18" ht="16.5">
      <c r="C1508" s="202"/>
      <c r="D1508" s="202"/>
      <c r="E1508" s="199"/>
      <c r="F1508" s="202"/>
      <c r="G1508" s="202"/>
      <c r="H1508" s="202"/>
      <c r="I1508" s="202"/>
      <c r="O1508" s="202"/>
      <c r="R1508" s="202"/>
    </row>
    <row r="1509" spans="3:18" ht="16.5">
      <c r="C1509" s="202"/>
      <c r="D1509" s="202"/>
      <c r="E1509" s="199"/>
      <c r="F1509" s="202"/>
      <c r="G1509" s="202"/>
      <c r="H1509" s="202"/>
      <c r="I1509" s="202"/>
      <c r="O1509" s="202"/>
      <c r="R1509" s="202"/>
    </row>
    <row r="1510" spans="3:18" ht="16.5">
      <c r="C1510" s="202"/>
      <c r="D1510" s="202"/>
      <c r="E1510" s="199"/>
      <c r="F1510" s="202"/>
      <c r="G1510" s="202"/>
      <c r="H1510" s="202"/>
      <c r="I1510" s="202"/>
      <c r="O1510" s="202"/>
      <c r="R1510" s="202"/>
    </row>
    <row r="1511" spans="3:18" ht="16.5">
      <c r="C1511" s="202"/>
      <c r="D1511" s="202"/>
      <c r="E1511" s="199"/>
      <c r="F1511" s="202"/>
      <c r="G1511" s="202"/>
      <c r="H1511" s="202"/>
      <c r="I1511" s="202"/>
      <c r="O1511" s="202"/>
      <c r="R1511" s="202"/>
    </row>
    <row r="1512" spans="3:18" ht="16.5">
      <c r="C1512" s="202"/>
      <c r="D1512" s="202"/>
      <c r="E1512" s="199"/>
      <c r="F1512" s="202"/>
      <c r="G1512" s="202"/>
      <c r="H1512" s="202"/>
      <c r="I1512" s="202"/>
      <c r="O1512" s="202"/>
      <c r="R1512" s="202"/>
    </row>
    <row r="1513" spans="3:18" ht="16.5">
      <c r="C1513" s="202"/>
      <c r="D1513" s="202"/>
      <c r="E1513" s="199"/>
      <c r="F1513" s="202"/>
      <c r="G1513" s="202"/>
      <c r="H1513" s="202"/>
      <c r="I1513" s="202"/>
      <c r="O1513" s="202"/>
      <c r="R1513" s="202"/>
    </row>
    <row r="1514" spans="3:18" ht="16.5">
      <c r="C1514" s="202"/>
      <c r="D1514" s="202"/>
      <c r="E1514" s="199"/>
      <c r="F1514" s="202"/>
      <c r="G1514" s="202"/>
      <c r="H1514" s="202"/>
      <c r="I1514" s="202"/>
      <c r="O1514" s="202"/>
      <c r="R1514" s="202"/>
    </row>
    <row r="1515" spans="3:18" ht="16.5">
      <c r="C1515" s="202"/>
      <c r="D1515" s="202"/>
      <c r="E1515" s="199"/>
      <c r="F1515" s="202"/>
      <c r="G1515" s="202"/>
      <c r="H1515" s="202"/>
      <c r="I1515" s="202"/>
      <c r="O1515" s="202"/>
      <c r="R1515" s="202"/>
    </row>
    <row r="1516" spans="3:18" ht="16.5">
      <c r="C1516" s="202"/>
      <c r="D1516" s="202"/>
      <c r="E1516" s="199"/>
      <c r="F1516" s="202"/>
      <c r="G1516" s="202"/>
      <c r="H1516" s="202"/>
      <c r="I1516" s="202"/>
      <c r="O1516" s="202"/>
      <c r="R1516" s="202"/>
    </row>
    <row r="1517" spans="3:18" ht="16.5">
      <c r="C1517" s="202"/>
      <c r="D1517" s="202"/>
      <c r="E1517" s="199"/>
      <c r="F1517" s="202"/>
      <c r="G1517" s="202"/>
      <c r="H1517" s="202"/>
      <c r="I1517" s="202"/>
      <c r="O1517" s="202"/>
      <c r="R1517" s="202"/>
    </row>
    <row r="1518" spans="3:18" ht="16.5">
      <c r="C1518" s="202"/>
      <c r="D1518" s="202"/>
      <c r="E1518" s="199"/>
      <c r="F1518" s="202"/>
      <c r="G1518" s="202"/>
      <c r="H1518" s="202"/>
      <c r="I1518" s="202"/>
      <c r="O1518" s="202"/>
      <c r="R1518" s="202"/>
    </row>
    <row r="1519" spans="3:18" ht="16.5">
      <c r="C1519" s="202"/>
      <c r="D1519" s="202"/>
      <c r="E1519" s="199"/>
      <c r="F1519" s="202"/>
      <c r="G1519" s="202"/>
      <c r="H1519" s="202"/>
      <c r="I1519" s="202"/>
      <c r="O1519" s="202"/>
      <c r="R1519" s="202"/>
    </row>
    <row r="1520" spans="3:18" ht="16.5">
      <c r="C1520" s="202"/>
      <c r="D1520" s="202"/>
      <c r="E1520" s="199"/>
      <c r="F1520" s="202"/>
      <c r="G1520" s="202"/>
      <c r="H1520" s="202"/>
      <c r="I1520" s="202"/>
      <c r="O1520" s="202"/>
      <c r="R1520" s="202"/>
    </row>
    <row r="1521" spans="3:18" ht="16.5">
      <c r="C1521" s="202"/>
      <c r="D1521" s="202"/>
      <c r="E1521" s="199"/>
      <c r="F1521" s="202"/>
      <c r="G1521" s="202"/>
      <c r="H1521" s="202"/>
      <c r="I1521" s="202"/>
      <c r="O1521" s="202"/>
      <c r="R1521" s="202"/>
    </row>
    <row r="1522" spans="3:18" ht="16.5">
      <c r="C1522" s="202"/>
      <c r="D1522" s="202"/>
      <c r="E1522" s="199"/>
      <c r="F1522" s="202"/>
      <c r="G1522" s="202"/>
      <c r="H1522" s="202"/>
      <c r="I1522" s="202"/>
      <c r="O1522" s="202"/>
      <c r="R1522" s="202"/>
    </row>
    <row r="1523" spans="3:18" ht="16.5">
      <c r="C1523" s="202"/>
      <c r="D1523" s="202"/>
      <c r="E1523" s="199"/>
      <c r="F1523" s="202"/>
      <c r="G1523" s="202"/>
      <c r="H1523" s="202"/>
      <c r="I1523" s="202"/>
      <c r="O1523" s="202"/>
      <c r="R1523" s="202"/>
    </row>
    <row r="1524" spans="3:18" ht="16.5">
      <c r="C1524" s="202"/>
      <c r="D1524" s="202"/>
      <c r="E1524" s="199"/>
      <c r="F1524" s="202"/>
      <c r="G1524" s="202"/>
      <c r="H1524" s="202"/>
      <c r="I1524" s="202"/>
      <c r="O1524" s="202"/>
      <c r="R1524" s="202"/>
    </row>
    <row r="1525" spans="3:18" ht="16.5">
      <c r="C1525" s="202"/>
      <c r="D1525" s="202"/>
      <c r="E1525" s="199"/>
      <c r="F1525" s="202"/>
      <c r="G1525" s="202"/>
      <c r="H1525" s="202"/>
      <c r="I1525" s="202"/>
      <c r="O1525" s="202"/>
      <c r="R1525" s="202"/>
    </row>
    <row r="1526" spans="3:18" ht="16.5">
      <c r="C1526" s="202"/>
      <c r="D1526" s="202"/>
      <c r="E1526" s="199"/>
      <c r="F1526" s="202"/>
      <c r="G1526" s="202"/>
      <c r="H1526" s="202"/>
      <c r="I1526" s="202"/>
      <c r="O1526" s="202"/>
      <c r="R1526" s="202"/>
    </row>
    <row r="1527" spans="3:18" ht="16.5">
      <c r="C1527" s="202"/>
      <c r="D1527" s="202"/>
      <c r="E1527" s="199"/>
      <c r="F1527" s="202"/>
      <c r="G1527" s="202"/>
      <c r="H1527" s="202"/>
      <c r="I1527" s="202"/>
      <c r="O1527" s="202"/>
      <c r="R1527" s="202"/>
    </row>
    <row r="1528" spans="3:18" ht="16.5">
      <c r="C1528" s="202"/>
      <c r="D1528" s="202"/>
      <c r="E1528" s="199"/>
      <c r="F1528" s="202"/>
      <c r="G1528" s="202"/>
      <c r="H1528" s="202"/>
      <c r="I1528" s="202"/>
      <c r="O1528" s="202"/>
      <c r="R1528" s="202"/>
    </row>
    <row r="1529" spans="3:18" ht="16.5">
      <c r="C1529" s="202"/>
      <c r="D1529" s="202"/>
      <c r="E1529" s="199"/>
      <c r="F1529" s="202"/>
      <c r="G1529" s="202"/>
      <c r="H1529" s="202"/>
      <c r="I1529" s="202"/>
      <c r="O1529" s="202"/>
      <c r="R1529" s="202"/>
    </row>
    <row r="1530" spans="3:18" ht="16.5">
      <c r="C1530" s="202"/>
      <c r="D1530" s="202"/>
      <c r="E1530" s="199"/>
      <c r="F1530" s="202"/>
      <c r="G1530" s="202"/>
      <c r="H1530" s="202"/>
      <c r="I1530" s="202"/>
      <c r="O1530" s="202"/>
      <c r="R1530" s="202"/>
    </row>
    <row r="1531" spans="3:18" ht="16.5">
      <c r="C1531" s="202"/>
      <c r="D1531" s="202"/>
      <c r="E1531" s="199"/>
      <c r="F1531" s="202"/>
      <c r="G1531" s="202"/>
      <c r="H1531" s="202"/>
      <c r="I1531" s="202"/>
      <c r="O1531" s="202"/>
      <c r="R1531" s="202"/>
    </row>
    <row r="1532" spans="3:18" ht="16.5">
      <c r="C1532" s="202"/>
      <c r="D1532" s="202"/>
      <c r="E1532" s="199"/>
      <c r="F1532" s="202"/>
      <c r="G1532" s="202"/>
      <c r="H1532" s="202"/>
      <c r="I1532" s="202"/>
      <c r="O1532" s="202"/>
      <c r="R1532" s="202"/>
    </row>
    <row r="1533" spans="3:18" ht="16.5">
      <c r="C1533" s="202"/>
      <c r="D1533" s="202"/>
      <c r="E1533" s="199"/>
      <c r="F1533" s="202"/>
      <c r="G1533" s="202"/>
      <c r="H1533" s="202"/>
      <c r="I1533" s="202"/>
      <c r="O1533" s="202"/>
      <c r="R1533" s="202"/>
    </row>
    <row r="1534" spans="3:18" ht="16.5">
      <c r="C1534" s="202"/>
      <c r="D1534" s="202"/>
      <c r="E1534" s="199"/>
      <c r="F1534" s="202"/>
      <c r="G1534" s="202"/>
      <c r="H1534" s="202"/>
      <c r="I1534" s="202"/>
      <c r="O1534" s="202"/>
      <c r="R1534" s="202"/>
    </row>
    <row r="1535" spans="3:18" ht="16.5">
      <c r="C1535" s="202"/>
      <c r="D1535" s="202"/>
      <c r="E1535" s="199"/>
      <c r="F1535" s="202"/>
      <c r="G1535" s="202"/>
      <c r="H1535" s="202"/>
      <c r="I1535" s="202"/>
      <c r="O1535" s="202"/>
      <c r="R1535" s="202"/>
    </row>
    <row r="1536" spans="3:18" ht="16.5">
      <c r="C1536" s="202"/>
      <c r="D1536" s="202"/>
      <c r="E1536" s="199"/>
      <c r="F1536" s="202"/>
      <c r="G1536" s="202"/>
      <c r="H1536" s="202"/>
      <c r="I1536" s="202"/>
      <c r="O1536" s="202"/>
      <c r="R1536" s="202"/>
    </row>
    <row r="1537" spans="3:18" ht="16.5">
      <c r="C1537" s="202"/>
      <c r="D1537" s="202"/>
      <c r="E1537" s="199"/>
      <c r="F1537" s="202"/>
      <c r="G1537" s="202"/>
      <c r="H1537" s="202"/>
      <c r="I1537" s="202"/>
      <c r="O1537" s="202"/>
      <c r="R1537" s="202"/>
    </row>
    <row r="1538" spans="3:18" ht="16.5">
      <c r="C1538" s="202"/>
      <c r="D1538" s="202"/>
      <c r="E1538" s="199"/>
      <c r="F1538" s="202"/>
      <c r="G1538" s="202"/>
      <c r="H1538" s="202"/>
      <c r="I1538" s="202"/>
      <c r="O1538" s="202"/>
      <c r="R1538" s="202"/>
    </row>
    <row r="1539" spans="3:18" ht="16.5">
      <c r="C1539" s="202"/>
      <c r="D1539" s="202"/>
      <c r="E1539" s="199"/>
      <c r="F1539" s="202"/>
      <c r="G1539" s="202"/>
      <c r="H1539" s="202"/>
      <c r="I1539" s="202"/>
      <c r="O1539" s="202"/>
      <c r="R1539" s="202"/>
    </row>
    <row r="1540" spans="3:18" ht="16.5">
      <c r="C1540" s="202"/>
      <c r="D1540" s="202"/>
      <c r="E1540" s="199"/>
      <c r="F1540" s="202"/>
      <c r="G1540" s="202"/>
      <c r="H1540" s="202"/>
      <c r="I1540" s="202"/>
      <c r="O1540" s="202"/>
      <c r="R1540" s="202"/>
    </row>
    <row r="1541" spans="3:18" ht="16.5">
      <c r="C1541" s="202"/>
      <c r="D1541" s="202"/>
      <c r="E1541" s="199"/>
      <c r="F1541" s="202"/>
      <c r="G1541" s="202"/>
      <c r="H1541" s="202"/>
      <c r="I1541" s="202"/>
      <c r="O1541" s="202"/>
      <c r="R1541" s="202"/>
    </row>
    <row r="1542" spans="3:18" ht="16.5">
      <c r="C1542" s="202"/>
      <c r="D1542" s="202"/>
      <c r="E1542" s="199"/>
      <c r="F1542" s="202"/>
      <c r="G1542" s="202"/>
      <c r="H1542" s="202"/>
      <c r="I1542" s="202"/>
      <c r="O1542" s="202"/>
      <c r="R1542" s="202"/>
    </row>
    <row r="1543" spans="3:18" ht="16.5">
      <c r="C1543" s="202"/>
      <c r="D1543" s="202"/>
      <c r="E1543" s="199"/>
      <c r="F1543" s="202"/>
      <c r="G1543" s="202"/>
      <c r="H1543" s="202"/>
      <c r="I1543" s="202"/>
      <c r="O1543" s="202"/>
      <c r="R1543" s="202"/>
    </row>
    <row r="1544" spans="3:18" ht="16.5">
      <c r="C1544" s="202"/>
      <c r="D1544" s="202"/>
      <c r="E1544" s="199"/>
      <c r="F1544" s="202"/>
      <c r="G1544" s="202"/>
      <c r="H1544" s="202"/>
      <c r="I1544" s="202"/>
      <c r="O1544" s="202"/>
      <c r="R1544" s="202"/>
    </row>
    <row r="1545" spans="3:18" ht="16.5">
      <c r="C1545" s="202"/>
      <c r="D1545" s="202"/>
      <c r="E1545" s="199"/>
      <c r="F1545" s="202"/>
      <c r="G1545" s="202"/>
      <c r="H1545" s="202"/>
      <c r="I1545" s="202"/>
      <c r="O1545" s="202"/>
      <c r="R1545" s="202"/>
    </row>
    <row r="1546" spans="3:18" ht="16.5">
      <c r="C1546" s="202"/>
      <c r="D1546" s="202"/>
      <c r="E1546" s="199"/>
      <c r="F1546" s="202"/>
      <c r="G1546" s="202"/>
      <c r="H1546" s="202"/>
      <c r="I1546" s="202"/>
      <c r="O1546" s="202"/>
      <c r="R1546" s="202"/>
    </row>
    <row r="1547" spans="3:18" ht="16.5">
      <c r="C1547" s="202"/>
      <c r="D1547" s="202"/>
      <c r="E1547" s="199"/>
      <c r="F1547" s="202"/>
      <c r="G1547" s="202"/>
      <c r="H1547" s="202"/>
      <c r="I1547" s="202"/>
      <c r="O1547" s="202"/>
      <c r="R1547" s="202"/>
    </row>
    <row r="1548" spans="3:18" ht="16.5">
      <c r="C1548" s="202"/>
      <c r="D1548" s="202"/>
      <c r="E1548" s="199"/>
      <c r="F1548" s="202"/>
      <c r="G1548" s="202"/>
      <c r="H1548" s="202"/>
      <c r="I1548" s="202"/>
      <c r="O1548" s="202"/>
      <c r="R1548" s="202"/>
    </row>
    <row r="1549" spans="3:18" ht="16.5">
      <c r="C1549" s="202"/>
      <c r="D1549" s="202"/>
      <c r="E1549" s="199"/>
      <c r="F1549" s="202"/>
      <c r="G1549" s="202"/>
      <c r="H1549" s="202"/>
      <c r="I1549" s="202"/>
      <c r="O1549" s="202"/>
      <c r="R1549" s="202"/>
    </row>
    <row r="1550" spans="3:18" ht="16.5">
      <c r="C1550" s="202"/>
      <c r="D1550" s="202"/>
      <c r="E1550" s="199"/>
      <c r="F1550" s="202"/>
      <c r="G1550" s="202"/>
      <c r="H1550" s="202"/>
      <c r="I1550" s="202"/>
      <c r="O1550" s="202"/>
      <c r="R1550" s="202"/>
    </row>
    <row r="1551" spans="3:18" ht="16.5">
      <c r="C1551" s="202"/>
      <c r="D1551" s="202"/>
      <c r="E1551" s="199"/>
      <c r="F1551" s="202"/>
      <c r="G1551" s="202"/>
      <c r="H1551" s="202"/>
      <c r="I1551" s="202"/>
      <c r="O1551" s="202"/>
      <c r="R1551" s="202"/>
    </row>
    <row r="1552" spans="3:18" ht="16.5">
      <c r="C1552" s="202"/>
      <c r="D1552" s="202"/>
      <c r="E1552" s="199"/>
      <c r="F1552" s="202"/>
      <c r="G1552" s="202"/>
      <c r="H1552" s="202"/>
      <c r="I1552" s="202"/>
      <c r="O1552" s="202"/>
      <c r="R1552" s="202"/>
    </row>
    <row r="1553" spans="3:18" ht="16.5">
      <c r="C1553" s="202"/>
      <c r="D1553" s="202"/>
      <c r="E1553" s="199"/>
      <c r="F1553" s="202"/>
      <c r="G1553" s="202"/>
      <c r="H1553" s="202"/>
      <c r="I1553" s="202"/>
      <c r="O1553" s="202"/>
      <c r="R1553" s="202"/>
    </row>
    <row r="1554" spans="3:18" ht="16.5">
      <c r="C1554" s="202"/>
      <c r="D1554" s="202"/>
      <c r="E1554" s="199"/>
      <c r="F1554" s="202"/>
      <c r="G1554" s="202"/>
      <c r="H1554" s="202"/>
      <c r="I1554" s="202"/>
      <c r="O1554" s="202"/>
      <c r="R1554" s="202"/>
    </row>
    <row r="1555" spans="3:18" ht="16.5">
      <c r="C1555" s="202"/>
      <c r="D1555" s="202"/>
      <c r="E1555" s="199"/>
      <c r="F1555" s="202"/>
      <c r="G1555" s="202"/>
      <c r="H1555" s="202"/>
      <c r="I1555" s="202"/>
      <c r="O1555" s="202"/>
      <c r="R1555" s="202"/>
    </row>
    <row r="1556" spans="3:18" ht="16.5">
      <c r="C1556" s="202"/>
      <c r="D1556" s="202"/>
      <c r="E1556" s="199"/>
      <c r="F1556" s="202"/>
      <c r="G1556" s="202"/>
      <c r="H1556" s="202"/>
      <c r="I1556" s="202"/>
      <c r="O1556" s="202"/>
      <c r="R1556" s="202"/>
    </row>
    <row r="1557" spans="3:18" ht="16.5">
      <c r="C1557" s="202"/>
      <c r="D1557" s="202"/>
      <c r="E1557" s="199"/>
      <c r="F1557" s="202"/>
      <c r="G1557" s="202"/>
      <c r="H1557" s="202"/>
      <c r="I1557" s="202"/>
      <c r="O1557" s="202"/>
      <c r="R1557" s="202"/>
    </row>
    <row r="1558" spans="3:18" ht="16.5">
      <c r="C1558" s="202"/>
      <c r="D1558" s="202"/>
      <c r="E1558" s="199"/>
      <c r="F1558" s="202"/>
      <c r="G1558" s="202"/>
      <c r="H1558" s="202"/>
      <c r="I1558" s="202"/>
      <c r="O1558" s="202"/>
      <c r="R1558" s="202"/>
    </row>
    <row r="1559" spans="3:18" ht="16.5">
      <c r="C1559" s="202"/>
      <c r="D1559" s="202"/>
      <c r="E1559" s="199"/>
      <c r="F1559" s="202"/>
      <c r="G1559" s="202"/>
      <c r="H1559" s="202"/>
      <c r="I1559" s="202"/>
      <c r="O1559" s="202"/>
      <c r="R1559" s="202"/>
    </row>
    <row r="1560" spans="3:18" ht="16.5">
      <c r="C1560" s="202"/>
      <c r="D1560" s="202"/>
      <c r="E1560" s="199"/>
      <c r="F1560" s="202"/>
      <c r="G1560" s="202"/>
      <c r="H1560" s="202"/>
      <c r="I1560" s="202"/>
      <c r="O1560" s="202"/>
      <c r="R1560" s="202"/>
    </row>
    <row r="1561" spans="3:18" ht="16.5">
      <c r="C1561" s="202"/>
      <c r="D1561" s="202"/>
      <c r="E1561" s="199"/>
      <c r="F1561" s="202"/>
      <c r="G1561" s="202"/>
      <c r="H1561" s="202"/>
      <c r="I1561" s="202"/>
      <c r="O1561" s="202"/>
      <c r="R1561" s="202"/>
    </row>
    <row r="1562" spans="3:18" ht="16.5">
      <c r="C1562" s="202"/>
      <c r="D1562" s="202"/>
      <c r="E1562" s="199"/>
      <c r="F1562" s="202"/>
      <c r="G1562" s="202"/>
      <c r="H1562" s="202"/>
      <c r="I1562" s="202"/>
      <c r="O1562" s="202"/>
      <c r="R1562" s="202"/>
    </row>
    <row r="1563" spans="3:18" ht="16.5">
      <c r="C1563" s="202"/>
      <c r="D1563" s="202"/>
      <c r="E1563" s="199"/>
      <c r="F1563" s="202"/>
      <c r="G1563" s="202"/>
      <c r="H1563" s="202"/>
      <c r="I1563" s="202"/>
      <c r="O1563" s="202"/>
      <c r="R1563" s="202"/>
    </row>
    <row r="1564" spans="3:18" ht="16.5">
      <c r="C1564" s="202"/>
      <c r="D1564" s="202"/>
      <c r="E1564" s="199"/>
      <c r="F1564" s="202"/>
      <c r="G1564" s="202"/>
      <c r="H1564" s="202"/>
      <c r="I1564" s="202"/>
      <c r="O1564" s="202"/>
      <c r="R1564" s="202"/>
    </row>
    <row r="1565" spans="3:18" ht="16.5">
      <c r="C1565" s="202"/>
      <c r="D1565" s="202"/>
      <c r="E1565" s="199"/>
      <c r="F1565" s="202"/>
      <c r="G1565" s="202"/>
      <c r="H1565" s="202"/>
      <c r="I1565" s="202"/>
      <c r="O1565" s="202"/>
      <c r="R1565" s="202"/>
    </row>
    <row r="1566" spans="3:18" ht="16.5">
      <c r="C1566" s="202"/>
      <c r="D1566" s="202"/>
      <c r="E1566" s="199"/>
      <c r="F1566" s="202"/>
      <c r="G1566" s="202"/>
      <c r="H1566" s="202"/>
      <c r="I1566" s="202"/>
      <c r="O1566" s="202"/>
      <c r="R1566" s="202"/>
    </row>
    <row r="1567" spans="3:18" ht="16.5">
      <c r="C1567" s="202"/>
      <c r="D1567" s="202"/>
      <c r="E1567" s="199"/>
      <c r="F1567" s="202"/>
      <c r="G1567" s="202"/>
      <c r="H1567" s="202"/>
      <c r="I1567" s="202"/>
      <c r="O1567" s="202"/>
      <c r="R1567" s="202"/>
    </row>
    <row r="1568" spans="3:18" ht="16.5">
      <c r="C1568" s="202"/>
      <c r="D1568" s="202"/>
      <c r="E1568" s="199"/>
      <c r="F1568" s="202"/>
      <c r="G1568" s="202"/>
      <c r="H1568" s="202"/>
      <c r="I1568" s="202"/>
      <c r="O1568" s="202"/>
      <c r="R1568" s="202"/>
    </row>
    <row r="1569" spans="3:18" ht="16.5">
      <c r="C1569" s="202"/>
      <c r="D1569" s="202"/>
      <c r="E1569" s="199"/>
      <c r="F1569" s="202"/>
      <c r="G1569" s="202"/>
      <c r="H1569" s="202"/>
      <c r="I1569" s="202"/>
      <c r="O1569" s="202"/>
      <c r="R1569" s="202"/>
    </row>
    <row r="1570" spans="3:18" ht="16.5">
      <c r="C1570" s="202"/>
      <c r="D1570" s="202"/>
      <c r="E1570" s="199"/>
      <c r="F1570" s="202"/>
      <c r="G1570" s="202"/>
      <c r="H1570" s="202"/>
      <c r="I1570" s="202"/>
      <c r="O1570" s="202"/>
      <c r="R1570" s="202"/>
    </row>
    <row r="1571" spans="3:18" ht="16.5">
      <c r="C1571" s="202"/>
      <c r="D1571" s="202"/>
      <c r="E1571" s="199"/>
      <c r="F1571" s="202"/>
      <c r="G1571" s="202"/>
      <c r="H1571" s="202"/>
      <c r="I1571" s="202"/>
      <c r="O1571" s="202"/>
      <c r="R1571" s="202"/>
    </row>
    <row r="1572" spans="3:18" ht="16.5">
      <c r="C1572" s="202"/>
      <c r="D1572" s="202"/>
      <c r="E1572" s="199"/>
      <c r="F1572" s="202"/>
      <c r="G1572" s="202"/>
      <c r="H1572" s="202"/>
      <c r="I1572" s="202"/>
      <c r="O1572" s="202"/>
      <c r="R1572" s="202"/>
    </row>
    <row r="1573" spans="3:18" ht="16.5">
      <c r="C1573" s="202"/>
      <c r="D1573" s="202"/>
      <c r="E1573" s="199"/>
      <c r="F1573" s="202"/>
      <c r="G1573" s="202"/>
      <c r="H1573" s="202"/>
      <c r="I1573" s="202"/>
      <c r="O1573" s="202"/>
      <c r="R1573" s="202"/>
    </row>
    <row r="1574" spans="3:18" ht="16.5">
      <c r="C1574" s="202"/>
      <c r="D1574" s="202"/>
      <c r="E1574" s="199"/>
      <c r="F1574" s="202"/>
      <c r="G1574" s="202"/>
      <c r="H1574" s="202"/>
      <c r="I1574" s="202"/>
      <c r="O1574" s="202"/>
      <c r="R1574" s="202"/>
    </row>
    <row r="1575" spans="3:18" ht="16.5">
      <c r="C1575" s="202"/>
      <c r="D1575" s="202"/>
      <c r="E1575" s="199"/>
      <c r="F1575" s="202"/>
      <c r="G1575" s="202"/>
      <c r="H1575" s="202"/>
      <c r="I1575" s="202"/>
      <c r="O1575" s="202"/>
      <c r="R1575" s="202"/>
    </row>
    <row r="1576" spans="3:18" ht="16.5">
      <c r="C1576" s="202"/>
      <c r="D1576" s="202"/>
      <c r="E1576" s="199"/>
      <c r="F1576" s="202"/>
      <c r="G1576" s="202"/>
      <c r="H1576" s="202"/>
      <c r="I1576" s="202"/>
      <c r="O1576" s="202"/>
      <c r="R1576" s="202"/>
    </row>
    <row r="1577" spans="3:18" ht="16.5">
      <c r="C1577" s="202"/>
      <c r="D1577" s="202"/>
      <c r="E1577" s="199"/>
      <c r="F1577" s="202"/>
      <c r="G1577" s="202"/>
      <c r="H1577" s="202"/>
      <c r="I1577" s="202"/>
      <c r="O1577" s="202"/>
      <c r="R1577" s="202"/>
    </row>
    <row r="1578" spans="3:18" ht="16.5">
      <c r="C1578" s="202"/>
      <c r="D1578" s="202"/>
      <c r="E1578" s="199"/>
      <c r="F1578" s="202"/>
      <c r="G1578" s="202"/>
      <c r="H1578" s="202"/>
      <c r="I1578" s="202"/>
      <c r="O1578" s="202"/>
      <c r="R1578" s="202"/>
    </row>
    <row r="1579" spans="3:18" ht="16.5">
      <c r="C1579" s="202"/>
      <c r="D1579" s="202"/>
      <c r="E1579" s="199"/>
      <c r="F1579" s="202"/>
      <c r="G1579" s="202"/>
      <c r="H1579" s="202"/>
      <c r="I1579" s="202"/>
      <c r="O1579" s="202"/>
      <c r="R1579" s="202"/>
    </row>
    <row r="1580" spans="3:18" ht="16.5">
      <c r="C1580" s="202"/>
      <c r="D1580" s="202"/>
      <c r="E1580" s="199"/>
      <c r="F1580" s="202"/>
      <c r="G1580" s="202"/>
      <c r="H1580" s="202"/>
      <c r="I1580" s="202"/>
      <c r="O1580" s="202"/>
      <c r="R1580" s="202"/>
    </row>
    <row r="1581" spans="3:18" ht="16.5">
      <c r="C1581" s="202"/>
      <c r="D1581" s="202"/>
      <c r="E1581" s="199"/>
      <c r="F1581" s="202"/>
      <c r="G1581" s="202"/>
      <c r="H1581" s="202"/>
      <c r="I1581" s="202"/>
      <c r="O1581" s="202"/>
      <c r="R1581" s="202"/>
    </row>
    <row r="1582" spans="3:18" ht="16.5">
      <c r="C1582" s="202"/>
      <c r="D1582" s="202"/>
      <c r="E1582" s="199"/>
      <c r="F1582" s="202"/>
      <c r="G1582" s="202"/>
      <c r="H1582" s="202"/>
      <c r="I1582" s="202"/>
      <c r="O1582" s="202"/>
      <c r="R1582" s="202"/>
    </row>
    <row r="1583" spans="3:18" ht="16.5">
      <c r="C1583" s="202"/>
      <c r="D1583" s="202"/>
      <c r="E1583" s="199"/>
      <c r="F1583" s="202"/>
      <c r="G1583" s="202"/>
      <c r="H1583" s="202"/>
      <c r="I1583" s="202"/>
      <c r="O1583" s="202"/>
      <c r="R1583" s="202"/>
    </row>
    <row r="1584" spans="3:18" ht="16.5">
      <c r="C1584" s="202"/>
      <c r="D1584" s="202"/>
      <c r="E1584" s="199"/>
      <c r="F1584" s="202"/>
      <c r="G1584" s="202"/>
      <c r="H1584" s="202"/>
      <c r="I1584" s="202"/>
      <c r="O1584" s="202"/>
      <c r="R1584" s="202"/>
    </row>
    <row r="1585" spans="3:18" ht="16.5">
      <c r="C1585" s="202"/>
      <c r="D1585" s="202"/>
      <c r="E1585" s="199"/>
      <c r="F1585" s="202"/>
      <c r="G1585" s="202"/>
      <c r="H1585" s="202"/>
      <c r="I1585" s="202"/>
      <c r="O1585" s="202"/>
      <c r="R1585" s="202"/>
    </row>
    <row r="1586" spans="3:18" ht="16.5">
      <c r="C1586" s="202"/>
      <c r="D1586" s="202"/>
      <c r="E1586" s="199"/>
      <c r="F1586" s="202"/>
      <c r="G1586" s="202"/>
      <c r="H1586" s="202"/>
      <c r="I1586" s="202"/>
      <c r="O1586" s="202"/>
      <c r="R1586" s="202"/>
    </row>
    <row r="1587" spans="3:18" ht="16.5">
      <c r="C1587" s="202"/>
      <c r="D1587" s="202"/>
      <c r="E1587" s="199"/>
      <c r="F1587" s="202"/>
      <c r="G1587" s="202"/>
      <c r="H1587" s="202"/>
      <c r="I1587" s="202"/>
      <c r="O1587" s="202"/>
      <c r="R1587" s="202"/>
    </row>
    <row r="1588" spans="3:18" ht="16.5">
      <c r="C1588" s="202"/>
      <c r="D1588" s="202"/>
      <c r="E1588" s="199"/>
      <c r="F1588" s="202"/>
      <c r="G1588" s="202"/>
      <c r="H1588" s="202"/>
      <c r="I1588" s="202"/>
      <c r="O1588" s="202"/>
      <c r="R1588" s="202"/>
    </row>
    <row r="1589" spans="3:18" ht="16.5">
      <c r="C1589" s="202"/>
      <c r="D1589" s="202"/>
      <c r="E1589" s="199"/>
      <c r="F1589" s="202"/>
      <c r="G1589" s="202"/>
      <c r="H1589" s="202"/>
      <c r="I1589" s="202"/>
      <c r="O1589" s="202"/>
      <c r="R1589" s="202"/>
    </row>
    <row r="1590" spans="3:18" ht="16.5">
      <c r="C1590" s="202"/>
      <c r="D1590" s="202"/>
      <c r="E1590" s="199"/>
      <c r="F1590" s="202"/>
      <c r="G1590" s="202"/>
      <c r="H1590" s="202"/>
      <c r="I1590" s="202"/>
      <c r="O1590" s="202"/>
      <c r="R1590" s="202"/>
    </row>
    <row r="1591" spans="3:18" ht="16.5">
      <c r="C1591" s="202"/>
      <c r="D1591" s="202"/>
      <c r="E1591" s="199"/>
      <c r="F1591" s="202"/>
      <c r="G1591" s="202"/>
      <c r="H1591" s="202"/>
      <c r="I1591" s="202"/>
      <c r="O1591" s="202"/>
      <c r="R1591" s="202"/>
    </row>
    <row r="1592" spans="3:18" ht="16.5">
      <c r="C1592" s="202"/>
      <c r="D1592" s="202"/>
      <c r="E1592" s="199"/>
      <c r="F1592" s="202"/>
      <c r="G1592" s="202"/>
      <c r="H1592" s="202"/>
      <c r="I1592" s="202"/>
      <c r="O1592" s="202"/>
      <c r="R1592" s="202"/>
    </row>
    <row r="1593" spans="3:18" ht="16.5">
      <c r="C1593" s="202"/>
      <c r="D1593" s="202"/>
      <c r="E1593" s="199"/>
      <c r="F1593" s="202"/>
      <c r="G1593" s="202"/>
      <c r="H1593" s="202"/>
      <c r="I1593" s="202"/>
      <c r="O1593" s="202"/>
      <c r="R1593" s="202"/>
    </row>
    <row r="1594" spans="3:18" ht="16.5">
      <c r="C1594" s="202"/>
      <c r="D1594" s="202"/>
      <c r="E1594" s="199"/>
      <c r="F1594" s="202"/>
      <c r="G1594" s="202"/>
      <c r="H1594" s="202"/>
      <c r="I1594" s="202"/>
      <c r="O1594" s="202"/>
      <c r="R1594" s="202"/>
    </row>
    <row r="1595" spans="3:18" ht="16.5">
      <c r="C1595" s="202"/>
      <c r="D1595" s="202"/>
      <c r="E1595" s="199"/>
      <c r="F1595" s="202"/>
      <c r="G1595" s="202"/>
      <c r="H1595" s="202"/>
      <c r="I1595" s="202"/>
      <c r="O1595" s="202"/>
      <c r="R1595" s="202"/>
    </row>
    <row r="1596" spans="3:18" ht="16.5">
      <c r="C1596" s="202"/>
      <c r="D1596" s="202"/>
      <c r="E1596" s="199"/>
      <c r="F1596" s="202"/>
      <c r="G1596" s="202"/>
      <c r="H1596" s="202"/>
      <c r="I1596" s="202"/>
      <c r="O1596" s="202"/>
      <c r="R1596" s="202"/>
    </row>
    <row r="1597" spans="3:18" ht="16.5">
      <c r="C1597" s="202"/>
      <c r="D1597" s="202"/>
      <c r="E1597" s="199"/>
      <c r="F1597" s="202"/>
      <c r="G1597" s="202"/>
      <c r="H1597" s="202"/>
      <c r="I1597" s="202"/>
      <c r="O1597" s="202"/>
      <c r="R1597" s="202"/>
    </row>
    <row r="1598" spans="3:18" ht="16.5">
      <c r="C1598" s="202"/>
      <c r="D1598" s="202"/>
      <c r="E1598" s="199"/>
      <c r="F1598" s="202"/>
      <c r="G1598" s="202"/>
      <c r="H1598" s="202"/>
      <c r="I1598" s="202"/>
      <c r="O1598" s="202"/>
      <c r="R1598" s="202"/>
    </row>
    <row r="1599" spans="3:18" ht="16.5">
      <c r="C1599" s="202"/>
      <c r="D1599" s="202"/>
      <c r="E1599" s="199"/>
      <c r="F1599" s="202"/>
      <c r="G1599" s="202"/>
      <c r="H1599" s="202"/>
      <c r="I1599" s="202"/>
      <c r="O1599" s="202"/>
      <c r="R1599" s="202"/>
    </row>
    <row r="1600" spans="3:18" ht="16.5">
      <c r="C1600" s="202"/>
      <c r="D1600" s="202"/>
      <c r="E1600" s="199"/>
      <c r="F1600" s="202"/>
      <c r="G1600" s="202"/>
      <c r="H1600" s="202"/>
      <c r="I1600" s="202"/>
      <c r="O1600" s="202"/>
      <c r="R1600" s="202"/>
    </row>
    <row r="1601" spans="3:18" ht="16.5">
      <c r="C1601" s="202"/>
      <c r="D1601" s="202"/>
      <c r="E1601" s="199"/>
      <c r="F1601" s="202"/>
      <c r="G1601" s="202"/>
      <c r="H1601" s="202"/>
      <c r="I1601" s="202"/>
      <c r="O1601" s="202"/>
      <c r="R1601" s="202"/>
    </row>
    <row r="1602" spans="3:18" ht="16.5">
      <c r="C1602" s="202"/>
      <c r="D1602" s="202"/>
      <c r="E1602" s="199"/>
      <c r="F1602" s="202"/>
      <c r="G1602" s="202"/>
      <c r="H1602" s="202"/>
      <c r="I1602" s="202"/>
      <c r="O1602" s="202"/>
      <c r="R1602" s="202"/>
    </row>
    <row r="1603" spans="3:18" ht="16.5">
      <c r="C1603" s="202"/>
      <c r="D1603" s="202"/>
      <c r="E1603" s="199"/>
      <c r="F1603" s="202"/>
      <c r="G1603" s="202"/>
      <c r="H1603" s="202"/>
      <c r="I1603" s="202"/>
      <c r="O1603" s="202"/>
      <c r="R1603" s="202"/>
    </row>
    <row r="1604" spans="3:18" ht="16.5">
      <c r="C1604" s="202"/>
      <c r="D1604" s="202"/>
      <c r="E1604" s="199"/>
      <c r="F1604" s="202"/>
      <c r="G1604" s="202"/>
      <c r="H1604" s="202"/>
      <c r="I1604" s="202"/>
      <c r="O1604" s="202"/>
      <c r="R1604" s="202"/>
    </row>
    <row r="1605" spans="3:18" ht="16.5">
      <c r="C1605" s="202"/>
      <c r="D1605" s="202"/>
      <c r="E1605" s="199"/>
      <c r="F1605" s="202"/>
      <c r="G1605" s="202"/>
      <c r="H1605" s="202"/>
      <c r="I1605" s="202"/>
      <c r="O1605" s="202"/>
      <c r="R1605" s="202"/>
    </row>
    <row r="1606" spans="3:18" ht="16.5">
      <c r="C1606" s="202"/>
      <c r="D1606" s="202"/>
      <c r="E1606" s="199"/>
      <c r="F1606" s="202"/>
      <c r="G1606" s="202"/>
      <c r="H1606" s="202"/>
      <c r="I1606" s="202"/>
      <c r="O1606" s="202"/>
      <c r="R1606" s="202"/>
    </row>
    <row r="1607" spans="3:18" ht="16.5">
      <c r="C1607" s="202"/>
      <c r="D1607" s="202"/>
      <c r="E1607" s="199"/>
      <c r="F1607" s="202"/>
      <c r="G1607" s="202"/>
      <c r="H1607" s="202"/>
      <c r="I1607" s="202"/>
      <c r="O1607" s="202"/>
      <c r="R1607" s="202"/>
    </row>
    <row r="1608" spans="3:18" ht="16.5">
      <c r="C1608" s="202"/>
      <c r="D1608" s="202"/>
      <c r="E1608" s="199"/>
      <c r="F1608" s="202"/>
      <c r="G1608" s="202"/>
      <c r="H1608" s="202"/>
      <c r="I1608" s="202"/>
      <c r="O1608" s="202"/>
      <c r="R1608" s="202"/>
    </row>
    <row r="1609" spans="3:18" ht="16.5">
      <c r="C1609" s="202"/>
      <c r="D1609" s="202"/>
      <c r="E1609" s="199"/>
      <c r="F1609" s="202"/>
      <c r="G1609" s="202"/>
      <c r="H1609" s="202"/>
      <c r="I1609" s="202"/>
      <c r="O1609" s="202"/>
      <c r="R1609" s="202"/>
    </row>
    <row r="1610" spans="3:18" ht="16.5">
      <c r="C1610" s="202"/>
      <c r="D1610" s="202"/>
      <c r="E1610" s="199"/>
      <c r="F1610" s="202"/>
      <c r="G1610" s="202"/>
      <c r="H1610" s="202"/>
      <c r="I1610" s="202"/>
      <c r="O1610" s="202"/>
      <c r="R1610" s="202"/>
    </row>
    <row r="1611" spans="3:18" ht="16.5">
      <c r="C1611" s="202"/>
      <c r="D1611" s="202"/>
      <c r="E1611" s="199"/>
      <c r="F1611" s="202"/>
      <c r="G1611" s="202"/>
      <c r="H1611" s="202"/>
      <c r="I1611" s="202"/>
      <c r="O1611" s="202"/>
      <c r="R1611" s="202"/>
    </row>
    <row r="1612" spans="3:18" ht="16.5">
      <c r="C1612" s="202"/>
      <c r="D1612" s="202"/>
      <c r="E1612" s="199"/>
      <c r="F1612" s="202"/>
      <c r="G1612" s="202"/>
      <c r="H1612" s="202"/>
      <c r="I1612" s="202"/>
      <c r="O1612" s="202"/>
      <c r="R1612" s="202"/>
    </row>
    <row r="1613" spans="3:18" ht="16.5">
      <c r="C1613" s="202"/>
      <c r="D1613" s="202"/>
      <c r="E1613" s="199"/>
      <c r="F1613" s="202"/>
      <c r="G1613" s="202"/>
      <c r="H1613" s="202"/>
      <c r="I1613" s="202"/>
      <c r="O1613" s="202"/>
      <c r="R1613" s="202"/>
    </row>
    <row r="1614" spans="3:18" ht="16.5">
      <c r="C1614" s="202"/>
      <c r="D1614" s="202"/>
      <c r="E1614" s="199"/>
      <c r="F1614" s="202"/>
      <c r="G1614" s="202"/>
      <c r="H1614" s="202"/>
      <c r="I1614" s="202"/>
      <c r="O1614" s="202"/>
      <c r="R1614" s="202"/>
    </row>
    <row r="1615" spans="3:18" ht="16.5">
      <c r="C1615" s="202"/>
      <c r="D1615" s="202"/>
      <c r="E1615" s="199"/>
      <c r="F1615" s="202"/>
      <c r="G1615" s="202"/>
      <c r="H1615" s="202"/>
      <c r="I1615" s="202"/>
      <c r="O1615" s="202"/>
      <c r="R1615" s="202"/>
    </row>
    <row r="1616" spans="3:18" ht="16.5">
      <c r="C1616" s="202"/>
      <c r="D1616" s="202"/>
      <c r="E1616" s="199"/>
      <c r="F1616" s="202"/>
      <c r="G1616" s="202"/>
      <c r="H1616" s="202"/>
      <c r="I1616" s="202"/>
      <c r="O1616" s="202"/>
      <c r="R1616" s="202"/>
    </row>
    <row r="1617" spans="3:18" ht="16.5">
      <c r="C1617" s="202"/>
      <c r="D1617" s="202"/>
      <c r="E1617" s="199"/>
      <c r="F1617" s="202"/>
      <c r="G1617" s="202"/>
      <c r="H1617" s="202"/>
      <c r="I1617" s="202"/>
      <c r="O1617" s="202"/>
      <c r="R1617" s="202"/>
    </row>
    <row r="1618" spans="3:18" ht="16.5">
      <c r="C1618" s="202"/>
      <c r="D1618" s="202"/>
      <c r="E1618" s="199"/>
      <c r="F1618" s="202"/>
      <c r="G1618" s="202"/>
      <c r="H1618" s="202"/>
      <c r="I1618" s="202"/>
      <c r="O1618" s="202"/>
      <c r="R1618" s="202"/>
    </row>
    <row r="1619" spans="3:18" ht="16.5">
      <c r="C1619" s="202"/>
      <c r="D1619" s="202"/>
      <c r="E1619" s="199"/>
      <c r="F1619" s="202"/>
      <c r="G1619" s="202"/>
      <c r="H1619" s="202"/>
      <c r="I1619" s="202"/>
      <c r="O1619" s="202"/>
      <c r="R1619" s="202"/>
    </row>
    <row r="1620" spans="3:18" ht="16.5">
      <c r="C1620" s="202"/>
      <c r="D1620" s="202"/>
      <c r="E1620" s="199"/>
      <c r="F1620" s="202"/>
      <c r="G1620" s="202"/>
      <c r="H1620" s="202"/>
      <c r="I1620" s="202"/>
      <c r="O1620" s="202"/>
      <c r="R1620" s="202"/>
    </row>
    <row r="1621" spans="3:18" ht="16.5">
      <c r="C1621" s="202"/>
      <c r="D1621" s="202"/>
      <c r="E1621" s="199"/>
      <c r="F1621" s="202"/>
      <c r="G1621" s="202"/>
      <c r="H1621" s="202"/>
      <c r="I1621" s="202"/>
      <c r="O1621" s="202"/>
      <c r="R1621" s="202"/>
    </row>
    <row r="1622" spans="3:18" ht="16.5">
      <c r="C1622" s="202"/>
      <c r="D1622" s="202"/>
      <c r="E1622" s="199"/>
      <c r="F1622" s="202"/>
      <c r="G1622" s="202"/>
      <c r="H1622" s="202"/>
      <c r="I1622" s="202"/>
      <c r="O1622" s="202"/>
      <c r="R1622" s="202"/>
    </row>
    <row r="1623" spans="3:18" ht="16.5">
      <c r="C1623" s="202"/>
      <c r="D1623" s="202"/>
      <c r="E1623" s="199"/>
      <c r="F1623" s="202"/>
      <c r="G1623" s="202"/>
      <c r="H1623" s="202"/>
      <c r="I1623" s="202"/>
      <c r="O1623" s="202"/>
      <c r="R1623" s="202"/>
    </row>
    <row r="1624" spans="3:18" ht="16.5">
      <c r="C1624" s="202"/>
      <c r="D1624" s="202"/>
      <c r="E1624" s="199"/>
      <c r="F1624" s="202"/>
      <c r="G1624" s="202"/>
      <c r="H1624" s="202"/>
      <c r="I1624" s="202"/>
      <c r="O1624" s="202"/>
      <c r="R1624" s="202"/>
    </row>
    <row r="1625" spans="3:18" ht="16.5">
      <c r="C1625" s="202"/>
      <c r="D1625" s="202"/>
      <c r="E1625" s="199"/>
      <c r="F1625" s="202"/>
      <c r="G1625" s="202"/>
      <c r="H1625" s="202"/>
      <c r="I1625" s="202"/>
      <c r="O1625" s="202"/>
      <c r="R1625" s="202"/>
    </row>
    <row r="1626" spans="3:18" ht="16.5">
      <c r="C1626" s="202"/>
      <c r="D1626" s="202"/>
      <c r="E1626" s="199"/>
      <c r="F1626" s="202"/>
      <c r="G1626" s="202"/>
      <c r="H1626" s="202"/>
      <c r="I1626" s="202"/>
      <c r="O1626" s="202"/>
      <c r="R1626" s="202"/>
    </row>
    <row r="1627" spans="3:18" ht="16.5">
      <c r="C1627" s="202"/>
      <c r="D1627" s="202"/>
      <c r="E1627" s="199"/>
      <c r="F1627" s="202"/>
      <c r="G1627" s="202"/>
      <c r="H1627" s="202"/>
      <c r="I1627" s="202"/>
      <c r="O1627" s="202"/>
      <c r="R1627" s="202"/>
    </row>
    <row r="1628" spans="3:18" ht="16.5">
      <c r="C1628" s="202"/>
      <c r="D1628" s="202"/>
      <c r="E1628" s="199"/>
      <c r="F1628" s="202"/>
      <c r="G1628" s="202"/>
      <c r="H1628" s="202"/>
      <c r="I1628" s="202"/>
      <c r="O1628" s="202"/>
      <c r="R1628" s="202"/>
    </row>
    <row r="1629" spans="3:18" ht="16.5">
      <c r="C1629" s="202"/>
      <c r="D1629" s="202"/>
      <c r="E1629" s="199"/>
      <c r="F1629" s="202"/>
      <c r="G1629" s="202"/>
      <c r="H1629" s="202"/>
      <c r="I1629" s="202"/>
      <c r="O1629" s="202"/>
      <c r="R1629" s="202"/>
    </row>
    <row r="1630" spans="3:18" ht="16.5">
      <c r="C1630" s="202"/>
      <c r="D1630" s="202"/>
      <c r="E1630" s="199"/>
      <c r="F1630" s="202"/>
      <c r="G1630" s="202"/>
      <c r="H1630" s="202"/>
      <c r="I1630" s="202"/>
      <c r="O1630" s="202"/>
      <c r="R1630" s="202"/>
    </row>
    <row r="1631" spans="3:18" ht="16.5">
      <c r="C1631" s="202"/>
      <c r="D1631" s="202"/>
      <c r="E1631" s="199"/>
      <c r="F1631" s="202"/>
      <c r="G1631" s="202"/>
      <c r="H1631" s="202"/>
      <c r="I1631" s="202"/>
      <c r="O1631" s="202"/>
      <c r="R1631" s="202"/>
    </row>
    <row r="1632" spans="3:18" ht="16.5">
      <c r="C1632" s="202"/>
      <c r="D1632" s="202"/>
      <c r="E1632" s="199"/>
      <c r="F1632" s="202"/>
      <c r="G1632" s="202"/>
      <c r="H1632" s="202"/>
      <c r="I1632" s="202"/>
      <c r="O1632" s="202"/>
      <c r="R1632" s="202"/>
    </row>
    <row r="1633" spans="3:18" ht="16.5">
      <c r="C1633" s="202"/>
      <c r="D1633" s="202"/>
      <c r="E1633" s="199"/>
      <c r="F1633" s="202"/>
      <c r="G1633" s="202"/>
      <c r="H1633" s="202"/>
      <c r="I1633" s="202"/>
      <c r="O1633" s="202"/>
      <c r="R1633" s="202"/>
    </row>
    <row r="1634" spans="3:18" ht="16.5">
      <c r="C1634" s="202"/>
      <c r="D1634" s="202"/>
      <c r="E1634" s="199"/>
      <c r="F1634" s="202"/>
      <c r="G1634" s="202"/>
      <c r="H1634" s="202"/>
      <c r="I1634" s="202"/>
      <c r="O1634" s="202"/>
      <c r="R1634" s="202"/>
    </row>
    <row r="1635" spans="3:18" ht="16.5">
      <c r="C1635" s="202"/>
      <c r="D1635" s="202"/>
      <c r="E1635" s="199"/>
      <c r="F1635" s="202"/>
      <c r="G1635" s="202"/>
      <c r="H1635" s="202"/>
      <c r="I1635" s="202"/>
      <c r="O1635" s="202"/>
      <c r="R1635" s="202"/>
    </row>
    <row r="1636" spans="3:18" ht="16.5">
      <c r="C1636" s="202"/>
      <c r="D1636" s="202"/>
      <c r="E1636" s="199"/>
      <c r="F1636" s="202"/>
      <c r="G1636" s="202"/>
      <c r="H1636" s="202"/>
      <c r="I1636" s="202"/>
      <c r="O1636" s="202"/>
      <c r="R1636" s="202"/>
    </row>
    <row r="1637" spans="3:18" ht="16.5">
      <c r="C1637" s="202"/>
      <c r="D1637" s="202"/>
      <c r="E1637" s="199"/>
      <c r="F1637" s="202"/>
      <c r="G1637" s="202"/>
      <c r="H1637" s="202"/>
      <c r="I1637" s="202"/>
      <c r="O1637" s="202"/>
      <c r="R1637" s="202"/>
    </row>
    <row r="1638" spans="3:18" ht="16.5">
      <c r="C1638" s="202"/>
      <c r="D1638" s="202"/>
      <c r="E1638" s="199"/>
      <c r="F1638" s="202"/>
      <c r="G1638" s="202"/>
      <c r="H1638" s="202"/>
      <c r="I1638" s="202"/>
      <c r="O1638" s="202"/>
      <c r="R1638" s="202"/>
    </row>
    <row r="1639" spans="3:18" ht="16.5">
      <c r="C1639" s="202"/>
      <c r="D1639" s="202"/>
      <c r="E1639" s="199"/>
      <c r="F1639" s="202"/>
      <c r="G1639" s="202"/>
      <c r="H1639" s="202"/>
      <c r="I1639" s="202"/>
      <c r="O1639" s="202"/>
      <c r="R1639" s="202"/>
    </row>
    <row r="1640" spans="3:18" ht="16.5">
      <c r="C1640" s="202"/>
      <c r="D1640" s="202"/>
      <c r="E1640" s="199"/>
      <c r="F1640" s="202"/>
      <c r="G1640" s="202"/>
      <c r="H1640" s="202"/>
      <c r="I1640" s="202"/>
      <c r="O1640" s="202"/>
      <c r="R1640" s="202"/>
    </row>
    <row r="1641" spans="3:18" ht="16.5">
      <c r="C1641" s="202"/>
      <c r="D1641" s="202"/>
      <c r="E1641" s="199"/>
      <c r="F1641" s="202"/>
      <c r="G1641" s="202"/>
      <c r="H1641" s="202"/>
      <c r="I1641" s="202"/>
      <c r="O1641" s="202"/>
      <c r="R1641" s="202"/>
    </row>
    <row r="1642" spans="3:18" ht="16.5">
      <c r="C1642" s="202"/>
      <c r="D1642" s="202"/>
      <c r="E1642" s="199"/>
      <c r="F1642" s="202"/>
      <c r="G1642" s="202"/>
      <c r="H1642" s="202"/>
      <c r="I1642" s="202"/>
      <c r="O1642" s="202"/>
      <c r="R1642" s="202"/>
    </row>
    <row r="1643" spans="3:18" ht="16.5">
      <c r="C1643" s="202"/>
      <c r="D1643" s="202"/>
      <c r="E1643" s="199"/>
      <c r="F1643" s="202"/>
      <c r="G1643" s="202"/>
      <c r="H1643" s="202"/>
      <c r="I1643" s="202"/>
      <c r="O1643" s="202"/>
      <c r="R1643" s="202"/>
    </row>
    <row r="1644" spans="3:18" ht="16.5">
      <c r="C1644" s="202"/>
      <c r="D1644" s="202"/>
      <c r="E1644" s="199"/>
      <c r="F1644" s="202"/>
      <c r="G1644" s="202"/>
      <c r="H1644" s="202"/>
      <c r="I1644" s="202"/>
      <c r="O1644" s="202"/>
      <c r="R1644" s="202"/>
    </row>
    <row r="1645" spans="3:18" ht="16.5">
      <c r="C1645" s="202"/>
      <c r="D1645" s="202"/>
      <c r="E1645" s="199"/>
      <c r="F1645" s="202"/>
      <c r="G1645" s="202"/>
      <c r="H1645" s="202"/>
      <c r="I1645" s="202"/>
      <c r="O1645" s="202"/>
      <c r="R1645" s="202"/>
    </row>
    <row r="1646" spans="3:18" ht="16.5">
      <c r="C1646" s="202"/>
      <c r="D1646" s="202"/>
      <c r="E1646" s="199"/>
      <c r="F1646" s="202"/>
      <c r="G1646" s="202"/>
      <c r="H1646" s="202"/>
      <c r="I1646" s="202"/>
      <c r="O1646" s="202"/>
      <c r="R1646" s="202"/>
    </row>
    <row r="1647" spans="3:18" ht="16.5">
      <c r="C1647" s="202"/>
      <c r="D1647" s="202"/>
      <c r="E1647" s="199"/>
      <c r="F1647" s="202"/>
      <c r="G1647" s="202"/>
      <c r="H1647" s="202"/>
      <c r="I1647" s="202"/>
      <c r="O1647" s="202"/>
      <c r="R1647" s="202"/>
    </row>
    <row r="1648" spans="3:18" ht="16.5">
      <c r="C1648" s="202"/>
      <c r="D1648" s="202"/>
      <c r="E1648" s="199"/>
      <c r="F1648" s="202"/>
      <c r="G1648" s="202"/>
      <c r="H1648" s="202"/>
      <c r="I1648" s="202"/>
      <c r="O1648" s="202"/>
      <c r="R1648" s="202"/>
    </row>
    <row r="1649" spans="3:18" ht="16.5">
      <c r="C1649" s="202"/>
      <c r="D1649" s="202"/>
      <c r="E1649" s="199"/>
      <c r="F1649" s="202"/>
      <c r="G1649" s="202"/>
      <c r="H1649" s="202"/>
      <c r="I1649" s="202"/>
      <c r="O1649" s="202"/>
      <c r="R1649" s="202"/>
    </row>
    <row r="1650" spans="3:18" ht="16.5">
      <c r="C1650" s="202"/>
      <c r="D1650" s="202"/>
      <c r="E1650" s="199"/>
      <c r="F1650" s="202"/>
      <c r="G1650" s="202"/>
      <c r="H1650" s="202"/>
      <c r="I1650" s="202"/>
      <c r="O1650" s="202"/>
      <c r="R1650" s="202"/>
    </row>
    <row r="1651" spans="3:18" ht="16.5">
      <c r="C1651" s="202"/>
      <c r="D1651" s="202"/>
      <c r="E1651" s="199"/>
      <c r="F1651" s="202"/>
      <c r="G1651" s="202"/>
      <c r="H1651" s="202"/>
      <c r="I1651" s="202"/>
      <c r="O1651" s="202"/>
      <c r="R1651" s="202"/>
    </row>
    <row r="1652" spans="3:18" ht="16.5">
      <c r="C1652" s="202"/>
      <c r="D1652" s="202"/>
      <c r="E1652" s="199"/>
      <c r="F1652" s="202"/>
      <c r="G1652" s="202"/>
      <c r="H1652" s="202"/>
      <c r="I1652" s="202"/>
      <c r="O1652" s="202"/>
      <c r="R1652" s="202"/>
    </row>
    <row r="1653" spans="3:18" ht="16.5">
      <c r="C1653" s="202"/>
      <c r="D1653" s="202"/>
      <c r="E1653" s="199"/>
      <c r="F1653" s="202"/>
      <c r="G1653" s="202"/>
      <c r="H1653" s="202"/>
      <c r="I1653" s="202"/>
      <c r="O1653" s="202"/>
      <c r="R1653" s="202"/>
    </row>
    <row r="1654" spans="3:18" ht="16.5">
      <c r="C1654" s="202"/>
      <c r="D1654" s="202"/>
      <c r="E1654" s="199"/>
      <c r="F1654" s="202"/>
      <c r="G1654" s="202"/>
      <c r="H1654" s="202"/>
      <c r="I1654" s="202"/>
      <c r="O1654" s="202"/>
      <c r="R1654" s="202"/>
    </row>
    <row r="1655" spans="3:18" ht="16.5">
      <c r="C1655" s="202"/>
      <c r="D1655" s="202"/>
      <c r="E1655" s="199"/>
      <c r="F1655" s="202"/>
      <c r="G1655" s="202"/>
      <c r="H1655" s="202"/>
      <c r="I1655" s="202"/>
      <c r="O1655" s="202"/>
      <c r="R1655" s="202"/>
    </row>
    <row r="1656" spans="3:18" ht="16.5">
      <c r="C1656" s="202"/>
      <c r="D1656" s="202"/>
      <c r="E1656" s="199"/>
      <c r="F1656" s="202"/>
      <c r="G1656" s="202"/>
      <c r="H1656" s="202"/>
      <c r="I1656" s="202"/>
      <c r="O1656" s="202"/>
      <c r="R1656" s="202"/>
    </row>
    <row r="1657" spans="3:18" ht="16.5">
      <c r="C1657" s="202"/>
      <c r="D1657" s="202"/>
      <c r="E1657" s="199"/>
      <c r="F1657" s="202"/>
      <c r="G1657" s="202"/>
      <c r="H1657" s="202"/>
      <c r="I1657" s="202"/>
      <c r="O1657" s="202"/>
      <c r="R1657" s="202"/>
    </row>
    <row r="1658" spans="3:18" ht="16.5">
      <c r="C1658" s="202"/>
      <c r="D1658" s="202"/>
      <c r="E1658" s="199"/>
      <c r="F1658" s="202"/>
      <c r="G1658" s="202"/>
      <c r="H1658" s="202"/>
      <c r="I1658" s="202"/>
      <c r="O1658" s="202"/>
      <c r="R1658" s="202"/>
    </row>
    <row r="1659" spans="3:18" ht="16.5">
      <c r="C1659" s="202"/>
      <c r="D1659" s="202"/>
      <c r="E1659" s="199"/>
      <c r="F1659" s="202"/>
      <c r="G1659" s="202"/>
      <c r="H1659" s="202"/>
      <c r="I1659" s="202"/>
      <c r="O1659" s="202"/>
      <c r="R1659" s="202"/>
    </row>
    <row r="1660" spans="3:18" ht="16.5">
      <c r="C1660" s="202"/>
      <c r="D1660" s="202"/>
      <c r="E1660" s="199"/>
      <c r="F1660" s="202"/>
      <c r="G1660" s="202"/>
      <c r="H1660" s="202"/>
      <c r="I1660" s="202"/>
      <c r="O1660" s="202"/>
      <c r="R1660" s="202"/>
    </row>
    <row r="1661" spans="3:18" ht="16.5">
      <c r="C1661" s="202"/>
      <c r="D1661" s="202"/>
      <c r="E1661" s="199"/>
      <c r="F1661" s="202"/>
      <c r="G1661" s="202"/>
      <c r="H1661" s="202"/>
      <c r="I1661" s="202"/>
      <c r="O1661" s="202"/>
      <c r="R1661" s="202"/>
    </row>
    <row r="1662" spans="3:18" ht="16.5">
      <c r="C1662" s="202"/>
      <c r="D1662" s="202"/>
      <c r="E1662" s="199"/>
      <c r="F1662" s="202"/>
      <c r="G1662" s="202"/>
      <c r="H1662" s="202"/>
      <c r="I1662" s="202"/>
      <c r="O1662" s="202"/>
      <c r="R1662" s="202"/>
    </row>
    <row r="1663" spans="3:18" ht="16.5">
      <c r="C1663" s="202"/>
      <c r="D1663" s="202"/>
      <c r="E1663" s="199"/>
      <c r="F1663" s="202"/>
      <c r="G1663" s="202"/>
      <c r="H1663" s="202"/>
      <c r="I1663" s="202"/>
      <c r="O1663" s="202"/>
      <c r="R1663" s="202"/>
    </row>
    <row r="1664" spans="3:18" ht="16.5">
      <c r="C1664" s="202"/>
      <c r="D1664" s="202"/>
      <c r="E1664" s="199"/>
      <c r="F1664" s="202"/>
      <c r="G1664" s="202"/>
      <c r="H1664" s="202"/>
      <c r="I1664" s="202"/>
      <c r="O1664" s="202"/>
      <c r="R1664" s="202"/>
    </row>
    <row r="1665" spans="3:18" ht="16.5">
      <c r="C1665" s="202"/>
      <c r="D1665" s="202"/>
      <c r="E1665" s="199"/>
      <c r="F1665" s="202"/>
      <c r="G1665" s="202"/>
      <c r="H1665" s="202"/>
      <c r="I1665" s="202"/>
      <c r="O1665" s="202"/>
      <c r="R1665" s="202"/>
    </row>
    <row r="1666" spans="3:18" ht="16.5">
      <c r="C1666" s="202"/>
      <c r="D1666" s="202"/>
      <c r="E1666" s="199"/>
      <c r="F1666" s="202"/>
      <c r="G1666" s="202"/>
      <c r="H1666" s="202"/>
      <c r="I1666" s="202"/>
      <c r="O1666" s="202"/>
      <c r="R1666" s="202"/>
    </row>
    <row r="1667" spans="3:18" ht="16.5">
      <c r="C1667" s="202"/>
      <c r="D1667" s="202"/>
      <c r="E1667" s="199"/>
      <c r="F1667" s="202"/>
      <c r="G1667" s="202"/>
      <c r="H1667" s="202"/>
      <c r="I1667" s="202"/>
      <c r="O1667" s="202"/>
      <c r="R1667" s="202"/>
    </row>
    <row r="1668" spans="3:18" ht="16.5">
      <c r="C1668" s="202"/>
      <c r="D1668" s="202"/>
      <c r="E1668" s="199"/>
      <c r="F1668" s="202"/>
      <c r="G1668" s="202"/>
      <c r="H1668" s="202"/>
      <c r="I1668" s="202"/>
      <c r="O1668" s="202"/>
      <c r="R1668" s="202"/>
    </row>
    <row r="1669" spans="3:18" ht="16.5">
      <c r="C1669" s="202"/>
      <c r="D1669" s="202"/>
      <c r="E1669" s="199"/>
      <c r="F1669" s="202"/>
      <c r="G1669" s="202"/>
      <c r="H1669" s="202"/>
      <c r="I1669" s="202"/>
      <c r="O1669" s="202"/>
      <c r="R1669" s="202"/>
    </row>
    <row r="1670" spans="3:18" ht="16.5">
      <c r="C1670" s="202"/>
      <c r="D1670" s="202"/>
      <c r="E1670" s="199"/>
      <c r="F1670" s="202"/>
      <c r="G1670" s="202"/>
      <c r="H1670" s="202"/>
      <c r="I1670" s="202"/>
      <c r="O1670" s="202"/>
      <c r="R1670" s="202"/>
    </row>
    <row r="1671" spans="3:18" ht="16.5">
      <c r="C1671" s="202"/>
      <c r="D1671" s="202"/>
      <c r="E1671" s="199"/>
      <c r="F1671" s="202"/>
      <c r="G1671" s="202"/>
      <c r="H1671" s="202"/>
      <c r="I1671" s="202"/>
      <c r="O1671" s="202"/>
      <c r="R1671" s="202"/>
    </row>
    <row r="1672" spans="3:18" ht="16.5">
      <c r="C1672" s="202"/>
      <c r="D1672" s="202"/>
      <c r="E1672" s="199"/>
      <c r="F1672" s="202"/>
      <c r="G1672" s="202"/>
      <c r="H1672" s="202"/>
      <c r="I1672" s="202"/>
      <c r="O1672" s="202"/>
      <c r="R1672" s="202"/>
    </row>
    <row r="1673" spans="3:18" ht="16.5">
      <c r="C1673" s="202"/>
      <c r="D1673" s="202"/>
      <c r="E1673" s="199"/>
      <c r="F1673" s="202"/>
      <c r="G1673" s="202"/>
      <c r="H1673" s="202"/>
      <c r="I1673" s="202"/>
      <c r="O1673" s="202"/>
      <c r="R1673" s="202"/>
    </row>
    <row r="1674" spans="3:18" ht="16.5">
      <c r="C1674" s="202"/>
      <c r="D1674" s="202"/>
      <c r="E1674" s="199"/>
      <c r="F1674" s="202"/>
      <c r="G1674" s="202"/>
      <c r="H1674" s="202"/>
      <c r="I1674" s="202"/>
      <c r="O1674" s="202"/>
      <c r="R1674" s="202"/>
    </row>
    <row r="1675" spans="3:18" ht="16.5">
      <c r="C1675" s="202"/>
      <c r="D1675" s="202"/>
      <c r="E1675" s="199"/>
      <c r="F1675" s="202"/>
      <c r="G1675" s="202"/>
      <c r="H1675" s="202"/>
      <c r="I1675" s="202"/>
      <c r="O1675" s="202"/>
      <c r="R1675" s="202"/>
    </row>
    <row r="1676" spans="3:18" ht="16.5">
      <c r="C1676" s="202"/>
      <c r="D1676" s="202"/>
      <c r="E1676" s="199"/>
      <c r="F1676" s="202"/>
      <c r="G1676" s="202"/>
      <c r="H1676" s="202"/>
      <c r="I1676" s="202"/>
      <c r="O1676" s="202"/>
      <c r="R1676" s="202"/>
    </row>
    <row r="1677" spans="3:18" ht="16.5">
      <c r="C1677" s="202"/>
      <c r="D1677" s="202"/>
      <c r="E1677" s="199"/>
      <c r="F1677" s="202"/>
      <c r="G1677" s="202"/>
      <c r="H1677" s="202"/>
      <c r="I1677" s="202"/>
      <c r="O1677" s="202"/>
      <c r="R1677" s="202"/>
    </row>
    <row r="1678" spans="3:18" ht="16.5">
      <c r="C1678" s="202"/>
      <c r="D1678" s="202"/>
      <c r="E1678" s="199"/>
      <c r="F1678" s="202"/>
      <c r="G1678" s="202"/>
      <c r="H1678" s="202"/>
      <c r="I1678" s="202"/>
      <c r="O1678" s="202"/>
      <c r="R1678" s="202"/>
    </row>
    <row r="1679" spans="3:18" ht="16.5">
      <c r="C1679" s="202"/>
      <c r="D1679" s="202"/>
      <c r="E1679" s="199"/>
      <c r="F1679" s="202"/>
      <c r="G1679" s="202"/>
      <c r="H1679" s="202"/>
      <c r="I1679" s="202"/>
      <c r="O1679" s="202"/>
      <c r="R1679" s="202"/>
    </row>
    <row r="1680" spans="3:18" ht="16.5">
      <c r="C1680" s="202"/>
      <c r="D1680" s="202"/>
      <c r="E1680" s="199"/>
      <c r="F1680" s="202"/>
      <c r="G1680" s="202"/>
      <c r="H1680" s="202"/>
      <c r="I1680" s="202"/>
      <c r="O1680" s="202"/>
      <c r="R1680" s="202"/>
    </row>
    <row r="1681" spans="3:18" ht="16.5">
      <c r="C1681" s="202"/>
      <c r="D1681" s="202"/>
      <c r="E1681" s="199"/>
      <c r="F1681" s="202"/>
      <c r="G1681" s="202"/>
      <c r="H1681" s="202"/>
      <c r="I1681" s="202"/>
      <c r="O1681" s="202"/>
      <c r="R1681" s="202"/>
    </row>
    <row r="1682" spans="3:18" ht="16.5">
      <c r="C1682" s="202"/>
      <c r="D1682" s="202"/>
      <c r="E1682" s="199"/>
      <c r="F1682" s="202"/>
      <c r="G1682" s="202"/>
      <c r="H1682" s="202"/>
      <c r="I1682" s="202"/>
      <c r="O1682" s="202"/>
      <c r="R1682" s="202"/>
    </row>
    <row r="1683" spans="3:18" ht="16.5">
      <c r="C1683" s="202"/>
      <c r="D1683" s="202"/>
      <c r="E1683" s="199"/>
      <c r="F1683" s="202"/>
      <c r="G1683" s="202"/>
      <c r="H1683" s="202"/>
      <c r="I1683" s="202"/>
      <c r="O1683" s="202"/>
      <c r="R1683" s="202"/>
    </row>
    <row r="1684" spans="3:18" ht="16.5">
      <c r="C1684" s="202"/>
      <c r="D1684" s="202"/>
      <c r="E1684" s="199"/>
      <c r="F1684" s="202"/>
      <c r="G1684" s="202"/>
      <c r="H1684" s="202"/>
      <c r="I1684" s="202"/>
      <c r="O1684" s="202"/>
      <c r="R1684" s="202"/>
    </row>
    <row r="1685" spans="3:18" ht="16.5">
      <c r="C1685" s="202"/>
      <c r="D1685" s="202"/>
      <c r="E1685" s="199"/>
      <c r="F1685" s="202"/>
      <c r="G1685" s="202"/>
      <c r="H1685" s="202"/>
      <c r="I1685" s="202"/>
      <c r="O1685" s="202"/>
      <c r="R1685" s="202"/>
    </row>
    <row r="1686" spans="3:18" ht="16.5">
      <c r="C1686" s="202"/>
      <c r="D1686" s="202"/>
      <c r="E1686" s="199"/>
      <c r="F1686" s="202"/>
      <c r="G1686" s="202"/>
      <c r="H1686" s="202"/>
      <c r="I1686" s="202"/>
      <c r="O1686" s="202"/>
      <c r="R1686" s="202"/>
    </row>
    <row r="1687" spans="3:18" ht="16.5">
      <c r="C1687" s="202"/>
      <c r="D1687" s="202"/>
      <c r="E1687" s="199"/>
      <c r="F1687" s="202"/>
      <c r="G1687" s="202"/>
      <c r="H1687" s="202"/>
      <c r="I1687" s="202"/>
      <c r="O1687" s="202"/>
      <c r="R1687" s="202"/>
    </row>
    <row r="1688" spans="3:18" ht="16.5">
      <c r="C1688" s="202"/>
      <c r="D1688" s="202"/>
      <c r="E1688" s="199"/>
      <c r="F1688" s="202"/>
      <c r="G1688" s="202"/>
      <c r="H1688" s="202"/>
      <c r="I1688" s="202"/>
      <c r="O1688" s="202"/>
      <c r="R1688" s="202"/>
    </row>
    <row r="1689" spans="3:18" ht="16.5">
      <c r="C1689" s="202"/>
      <c r="D1689" s="202"/>
      <c r="E1689" s="199"/>
      <c r="F1689" s="202"/>
      <c r="G1689" s="202"/>
      <c r="H1689" s="202"/>
      <c r="I1689" s="202"/>
      <c r="O1689" s="202"/>
      <c r="R1689" s="202"/>
    </row>
    <row r="1690" spans="3:18" ht="16.5">
      <c r="C1690" s="202"/>
      <c r="D1690" s="202"/>
      <c r="E1690" s="199"/>
      <c r="F1690" s="202"/>
      <c r="G1690" s="202"/>
      <c r="H1690" s="202"/>
      <c r="I1690" s="202"/>
      <c r="O1690" s="202"/>
      <c r="R1690" s="202"/>
    </row>
    <row r="1691" spans="3:18" ht="16.5">
      <c r="C1691" s="202"/>
      <c r="D1691" s="202"/>
      <c r="E1691" s="199"/>
      <c r="F1691" s="202"/>
      <c r="G1691" s="202"/>
      <c r="H1691" s="202"/>
      <c r="I1691" s="202"/>
      <c r="O1691" s="202"/>
      <c r="R1691" s="202"/>
    </row>
    <row r="1692" spans="3:18" ht="16.5">
      <c r="C1692" s="202"/>
      <c r="D1692" s="202"/>
      <c r="E1692" s="199"/>
      <c r="F1692" s="202"/>
      <c r="G1692" s="202"/>
      <c r="H1692" s="202"/>
      <c r="I1692" s="202"/>
      <c r="O1692" s="202"/>
      <c r="R1692" s="202"/>
    </row>
    <row r="1693" spans="3:18" ht="16.5">
      <c r="C1693" s="202"/>
      <c r="D1693" s="202"/>
      <c r="E1693" s="199"/>
      <c r="F1693" s="202"/>
      <c r="G1693" s="202"/>
      <c r="H1693" s="202"/>
      <c r="I1693" s="202"/>
      <c r="O1693" s="202"/>
      <c r="R1693" s="202"/>
    </row>
    <row r="1694" spans="3:18" ht="16.5">
      <c r="C1694" s="202"/>
      <c r="D1694" s="202"/>
      <c r="E1694" s="199"/>
      <c r="F1694" s="202"/>
      <c r="G1694" s="202"/>
      <c r="H1694" s="202"/>
      <c r="I1694" s="202"/>
      <c r="O1694" s="202"/>
      <c r="R1694" s="202"/>
    </row>
    <row r="1695" spans="3:18" ht="16.5">
      <c r="C1695" s="202"/>
      <c r="D1695" s="202"/>
      <c r="E1695" s="199"/>
      <c r="F1695" s="202"/>
      <c r="G1695" s="202"/>
      <c r="H1695" s="202"/>
      <c r="I1695" s="202"/>
      <c r="O1695" s="202"/>
      <c r="R1695" s="202"/>
    </row>
    <row r="1696" spans="3:18" ht="16.5">
      <c r="C1696" s="202"/>
      <c r="D1696" s="202"/>
      <c r="E1696" s="199"/>
      <c r="F1696" s="202"/>
      <c r="G1696" s="202"/>
      <c r="H1696" s="202"/>
      <c r="I1696" s="202"/>
      <c r="O1696" s="202"/>
      <c r="R1696" s="202"/>
    </row>
    <row r="1697" spans="3:18" ht="16.5">
      <c r="C1697" s="202"/>
      <c r="D1697" s="202"/>
      <c r="E1697" s="199"/>
      <c r="F1697" s="202"/>
      <c r="G1697" s="202"/>
      <c r="H1697" s="202"/>
      <c r="I1697" s="202"/>
      <c r="O1697" s="202"/>
      <c r="R1697" s="202"/>
    </row>
    <row r="1698" spans="3:18" ht="16.5">
      <c r="C1698" s="202"/>
      <c r="D1698" s="202"/>
      <c r="E1698" s="199"/>
      <c r="F1698" s="202"/>
      <c r="G1698" s="202"/>
      <c r="H1698" s="202"/>
      <c r="I1698" s="202"/>
      <c r="O1698" s="202"/>
      <c r="R1698" s="202"/>
    </row>
    <row r="1699" spans="3:18" ht="16.5">
      <c r="C1699" s="202"/>
      <c r="D1699" s="202"/>
      <c r="E1699" s="199"/>
      <c r="F1699" s="202"/>
      <c r="G1699" s="202"/>
      <c r="H1699" s="202"/>
      <c r="I1699" s="202"/>
      <c r="O1699" s="202"/>
      <c r="R1699" s="202"/>
    </row>
    <row r="1700" spans="3:18" ht="16.5">
      <c r="C1700" s="202"/>
      <c r="D1700" s="202"/>
      <c r="E1700" s="199"/>
      <c r="F1700" s="202"/>
      <c r="G1700" s="202"/>
      <c r="H1700" s="202"/>
      <c r="I1700" s="202"/>
      <c r="O1700" s="202"/>
      <c r="R1700" s="202"/>
    </row>
    <row r="1701" spans="3:18" ht="16.5">
      <c r="C1701" s="202"/>
      <c r="D1701" s="202"/>
      <c r="E1701" s="199"/>
      <c r="F1701" s="202"/>
      <c r="G1701" s="202"/>
      <c r="H1701" s="202"/>
      <c r="I1701" s="202"/>
      <c r="O1701" s="202"/>
      <c r="R1701" s="202"/>
    </row>
    <row r="1702" spans="3:18" ht="16.5">
      <c r="C1702" s="202"/>
      <c r="D1702" s="202"/>
      <c r="E1702" s="199"/>
      <c r="F1702" s="202"/>
      <c r="G1702" s="202"/>
      <c r="H1702" s="202"/>
      <c r="I1702" s="202"/>
      <c r="O1702" s="202"/>
      <c r="R1702" s="202"/>
    </row>
    <row r="1703" spans="3:18" ht="16.5">
      <c r="C1703" s="202"/>
      <c r="D1703" s="202"/>
      <c r="E1703" s="199"/>
      <c r="F1703" s="202"/>
      <c r="G1703" s="202"/>
      <c r="H1703" s="202"/>
      <c r="I1703" s="202"/>
      <c r="O1703" s="202"/>
      <c r="R1703" s="202"/>
    </row>
    <row r="1704" spans="3:18" ht="16.5">
      <c r="C1704" s="202"/>
      <c r="D1704" s="202"/>
      <c r="E1704" s="199"/>
      <c r="F1704" s="202"/>
      <c r="G1704" s="202"/>
      <c r="H1704" s="202"/>
      <c r="I1704" s="202"/>
      <c r="O1704" s="202"/>
      <c r="R1704" s="202"/>
    </row>
    <row r="1705" spans="3:18" ht="16.5">
      <c r="C1705" s="202"/>
      <c r="D1705" s="202"/>
      <c r="E1705" s="199"/>
      <c r="F1705" s="202"/>
      <c r="G1705" s="202"/>
      <c r="H1705" s="202"/>
      <c r="I1705" s="202"/>
      <c r="O1705" s="202"/>
      <c r="R1705" s="202"/>
    </row>
    <row r="1706" spans="3:18" ht="16.5">
      <c r="C1706" s="202"/>
      <c r="D1706" s="202"/>
      <c r="E1706" s="199"/>
      <c r="F1706" s="202"/>
      <c r="G1706" s="202"/>
      <c r="H1706" s="202"/>
      <c r="I1706" s="202"/>
      <c r="O1706" s="202"/>
      <c r="R1706" s="202"/>
    </row>
    <row r="1707" spans="3:18" ht="16.5">
      <c r="C1707" s="202"/>
      <c r="D1707" s="202"/>
      <c r="E1707" s="199"/>
      <c r="F1707" s="202"/>
      <c r="G1707" s="202"/>
      <c r="H1707" s="202"/>
      <c r="I1707" s="202"/>
      <c r="O1707" s="202"/>
      <c r="R1707" s="202"/>
    </row>
    <row r="1708" spans="3:18" ht="16.5">
      <c r="C1708" s="202"/>
      <c r="D1708" s="202"/>
      <c r="E1708" s="199"/>
      <c r="F1708" s="202"/>
      <c r="G1708" s="202"/>
      <c r="H1708" s="202"/>
      <c r="I1708" s="202"/>
      <c r="O1708" s="202"/>
      <c r="R1708" s="202"/>
    </row>
    <row r="1709" spans="3:18" ht="16.5">
      <c r="C1709" s="202"/>
      <c r="D1709" s="202"/>
      <c r="E1709" s="199"/>
      <c r="F1709" s="202"/>
      <c r="G1709" s="202"/>
      <c r="H1709" s="202"/>
      <c r="I1709" s="202"/>
      <c r="O1709" s="202"/>
      <c r="R1709" s="202"/>
    </row>
    <row r="1710" spans="3:18" ht="16.5">
      <c r="C1710" s="202"/>
      <c r="D1710" s="202"/>
      <c r="E1710" s="199"/>
      <c r="F1710" s="202"/>
      <c r="G1710" s="202"/>
      <c r="H1710" s="202"/>
      <c r="I1710" s="202"/>
      <c r="O1710" s="202"/>
      <c r="R1710" s="202"/>
    </row>
    <row r="1711" spans="3:18" ht="16.5">
      <c r="C1711" s="202"/>
      <c r="D1711" s="202"/>
      <c r="E1711" s="199"/>
      <c r="F1711" s="202"/>
      <c r="G1711" s="202"/>
      <c r="H1711" s="202"/>
      <c r="I1711" s="202"/>
      <c r="O1711" s="202"/>
      <c r="R1711" s="202"/>
    </row>
    <row r="1712" spans="3:18" ht="16.5">
      <c r="C1712" s="202"/>
      <c r="D1712" s="202"/>
      <c r="E1712" s="199"/>
      <c r="F1712" s="202"/>
      <c r="G1712" s="202"/>
      <c r="H1712" s="202"/>
      <c r="I1712" s="202"/>
      <c r="O1712" s="202"/>
      <c r="R1712" s="202"/>
    </row>
    <row r="1713" spans="3:18" ht="16.5">
      <c r="C1713" s="202"/>
      <c r="D1713" s="202"/>
      <c r="E1713" s="199"/>
      <c r="F1713" s="202"/>
      <c r="G1713" s="202"/>
      <c r="H1713" s="202"/>
      <c r="I1713" s="202"/>
      <c r="O1713" s="202"/>
      <c r="R1713" s="202"/>
    </row>
    <row r="1714" spans="3:18" ht="16.5">
      <c r="C1714" s="202"/>
      <c r="D1714" s="202"/>
      <c r="E1714" s="199"/>
      <c r="F1714" s="202"/>
      <c r="G1714" s="202"/>
      <c r="H1714" s="202"/>
      <c r="I1714" s="202"/>
      <c r="O1714" s="202"/>
      <c r="R1714" s="202"/>
    </row>
    <row r="1715" spans="3:18" ht="16.5">
      <c r="C1715" s="202"/>
      <c r="D1715" s="202"/>
      <c r="E1715" s="199"/>
      <c r="F1715" s="202"/>
      <c r="G1715" s="202"/>
      <c r="H1715" s="202"/>
      <c r="I1715" s="202"/>
      <c r="O1715" s="202"/>
      <c r="R1715" s="202"/>
    </row>
    <row r="1716" spans="3:18" ht="16.5">
      <c r="C1716" s="202"/>
      <c r="D1716" s="202"/>
      <c r="E1716" s="199"/>
      <c r="F1716" s="202"/>
      <c r="G1716" s="202"/>
      <c r="H1716" s="202"/>
      <c r="I1716" s="202"/>
      <c r="O1716" s="202"/>
      <c r="R1716" s="202"/>
    </row>
    <row r="1717" spans="3:18" ht="16.5">
      <c r="C1717" s="202"/>
      <c r="D1717" s="202"/>
      <c r="E1717" s="199"/>
      <c r="F1717" s="202"/>
      <c r="G1717" s="202"/>
      <c r="H1717" s="202"/>
      <c r="I1717" s="202"/>
      <c r="O1717" s="202"/>
      <c r="R1717" s="202"/>
    </row>
    <row r="1718" spans="3:18" ht="16.5">
      <c r="C1718" s="202"/>
      <c r="D1718" s="202"/>
      <c r="E1718" s="199"/>
      <c r="F1718" s="202"/>
      <c r="G1718" s="202"/>
      <c r="H1718" s="202"/>
      <c r="I1718" s="202"/>
      <c r="O1718" s="202"/>
      <c r="R1718" s="202"/>
    </row>
    <row r="1719" spans="3:18" ht="16.5">
      <c r="C1719" s="202"/>
      <c r="D1719" s="202"/>
      <c r="E1719" s="199"/>
      <c r="F1719" s="202"/>
      <c r="G1719" s="202"/>
      <c r="H1719" s="202"/>
      <c r="I1719" s="202"/>
      <c r="O1719" s="202"/>
      <c r="R1719" s="202"/>
    </row>
    <row r="1720" spans="3:18" ht="16.5">
      <c r="C1720" s="202"/>
      <c r="D1720" s="202"/>
      <c r="E1720" s="199"/>
      <c r="F1720" s="202"/>
      <c r="G1720" s="202"/>
      <c r="H1720" s="202"/>
      <c r="I1720" s="202"/>
      <c r="O1720" s="202"/>
      <c r="R1720" s="202"/>
    </row>
    <row r="1721" spans="3:18" ht="16.5">
      <c r="C1721" s="202"/>
      <c r="D1721" s="202"/>
      <c r="E1721" s="199"/>
      <c r="F1721" s="202"/>
      <c r="G1721" s="202"/>
      <c r="H1721" s="202"/>
      <c r="I1721" s="202"/>
      <c r="O1721" s="202"/>
      <c r="R1721" s="202"/>
    </row>
    <row r="1722" spans="3:18" ht="16.5">
      <c r="C1722" s="202"/>
      <c r="D1722" s="202"/>
      <c r="E1722" s="199"/>
      <c r="F1722" s="202"/>
      <c r="G1722" s="202"/>
      <c r="H1722" s="202"/>
      <c r="I1722" s="202"/>
      <c r="O1722" s="202"/>
      <c r="R1722" s="202"/>
    </row>
    <row r="1723" spans="3:18" ht="16.5">
      <c r="C1723" s="202"/>
      <c r="D1723" s="202"/>
      <c r="E1723" s="199"/>
      <c r="F1723" s="202"/>
      <c r="G1723" s="202"/>
      <c r="H1723" s="202"/>
      <c r="I1723" s="202"/>
      <c r="O1723" s="202"/>
      <c r="R1723" s="202"/>
    </row>
    <row r="1724" spans="3:18" ht="16.5">
      <c r="C1724" s="202"/>
      <c r="D1724" s="202"/>
      <c r="E1724" s="199"/>
      <c r="F1724" s="202"/>
      <c r="G1724" s="202"/>
      <c r="H1724" s="202"/>
      <c r="I1724" s="202"/>
      <c r="O1724" s="202"/>
      <c r="R1724" s="202"/>
    </row>
    <row r="1725" spans="3:18" ht="16.5">
      <c r="C1725" s="202"/>
      <c r="D1725" s="202"/>
      <c r="E1725" s="199"/>
      <c r="F1725" s="202"/>
      <c r="G1725" s="202"/>
      <c r="H1725" s="202"/>
      <c r="I1725" s="202"/>
      <c r="O1725" s="202"/>
      <c r="R1725" s="202"/>
    </row>
    <row r="1726" spans="3:18" ht="16.5">
      <c r="C1726" s="202"/>
      <c r="D1726" s="202"/>
      <c r="E1726" s="199"/>
      <c r="F1726" s="202"/>
      <c r="G1726" s="202"/>
      <c r="H1726" s="202"/>
      <c r="I1726" s="202"/>
      <c r="O1726" s="202"/>
      <c r="R1726" s="202"/>
    </row>
    <row r="1727" spans="3:18" ht="16.5">
      <c r="C1727" s="202"/>
      <c r="D1727" s="202"/>
      <c r="E1727" s="199"/>
      <c r="F1727" s="202"/>
      <c r="G1727" s="202"/>
      <c r="H1727" s="202"/>
      <c r="I1727" s="202"/>
      <c r="O1727" s="202"/>
      <c r="R1727" s="202"/>
    </row>
    <row r="1728" spans="3:18" ht="16.5">
      <c r="C1728" s="202"/>
      <c r="D1728" s="202"/>
      <c r="E1728" s="199"/>
      <c r="F1728" s="202"/>
      <c r="G1728" s="202"/>
      <c r="H1728" s="202"/>
      <c r="I1728" s="202"/>
      <c r="O1728" s="202"/>
      <c r="R1728" s="202"/>
    </row>
    <row r="1729" spans="3:18" ht="16.5">
      <c r="C1729" s="202"/>
      <c r="D1729" s="202"/>
      <c r="E1729" s="199"/>
      <c r="F1729" s="202"/>
      <c r="G1729" s="202"/>
      <c r="H1729" s="202"/>
      <c r="I1729" s="202"/>
      <c r="O1729" s="202"/>
      <c r="R1729" s="202"/>
    </row>
    <row r="1730" spans="3:18" ht="16.5">
      <c r="C1730" s="202"/>
      <c r="D1730" s="202"/>
      <c r="E1730" s="199"/>
      <c r="F1730" s="202"/>
      <c r="G1730" s="202"/>
      <c r="H1730" s="202"/>
      <c r="I1730" s="202"/>
      <c r="O1730" s="202"/>
      <c r="R1730" s="202"/>
    </row>
    <row r="1731" spans="3:18" ht="16.5">
      <c r="C1731" s="202"/>
      <c r="D1731" s="202"/>
      <c r="E1731" s="199"/>
      <c r="F1731" s="202"/>
      <c r="G1731" s="202"/>
      <c r="H1731" s="202"/>
      <c r="I1731" s="202"/>
      <c r="O1731" s="202"/>
      <c r="R1731" s="202"/>
    </row>
    <row r="1732" spans="3:18" ht="16.5">
      <c r="C1732" s="202"/>
      <c r="D1732" s="202"/>
      <c r="E1732" s="199"/>
      <c r="F1732" s="202"/>
      <c r="G1732" s="202"/>
      <c r="H1732" s="202"/>
      <c r="I1732" s="202"/>
      <c r="O1732" s="202"/>
      <c r="R1732" s="202"/>
    </row>
    <row r="1733" spans="3:18" ht="16.5">
      <c r="C1733" s="202"/>
      <c r="D1733" s="202"/>
      <c r="E1733" s="199"/>
      <c r="F1733" s="202"/>
      <c r="G1733" s="202"/>
      <c r="H1733" s="202"/>
      <c r="I1733" s="202"/>
      <c r="O1733" s="202"/>
      <c r="R1733" s="202"/>
    </row>
    <row r="1734" spans="3:18" ht="16.5">
      <c r="C1734" s="202"/>
      <c r="D1734" s="202"/>
      <c r="E1734" s="199"/>
      <c r="F1734" s="202"/>
      <c r="G1734" s="202"/>
      <c r="H1734" s="202"/>
      <c r="I1734" s="202"/>
      <c r="O1734" s="202"/>
      <c r="R1734" s="202"/>
    </row>
    <row r="1735" spans="3:18" ht="16.5">
      <c r="C1735" s="202"/>
      <c r="D1735" s="202"/>
      <c r="E1735" s="199"/>
      <c r="F1735" s="202"/>
      <c r="G1735" s="202"/>
      <c r="H1735" s="202"/>
      <c r="I1735" s="202"/>
      <c r="O1735" s="202"/>
      <c r="R1735" s="202"/>
    </row>
    <row r="1736" spans="3:18" ht="16.5">
      <c r="C1736" s="202"/>
      <c r="D1736" s="202"/>
      <c r="E1736" s="199"/>
      <c r="F1736" s="202"/>
      <c r="G1736" s="202"/>
      <c r="H1736" s="202"/>
      <c r="I1736" s="202"/>
      <c r="O1736" s="202"/>
      <c r="R1736" s="202"/>
    </row>
    <row r="1737" spans="3:18" ht="16.5">
      <c r="C1737" s="202"/>
      <c r="D1737" s="202"/>
      <c r="E1737" s="199"/>
      <c r="F1737" s="202"/>
      <c r="G1737" s="202"/>
      <c r="H1737" s="202"/>
      <c r="I1737" s="202"/>
      <c r="O1737" s="202"/>
      <c r="R1737" s="202"/>
    </row>
    <row r="1738" spans="3:18" ht="16.5">
      <c r="C1738" s="202"/>
      <c r="D1738" s="202"/>
      <c r="E1738" s="199"/>
      <c r="F1738" s="202"/>
      <c r="G1738" s="202"/>
      <c r="H1738" s="202"/>
      <c r="I1738" s="202"/>
      <c r="O1738" s="202"/>
      <c r="R1738" s="202"/>
    </row>
    <row r="1739" spans="3:18" ht="16.5">
      <c r="C1739" s="202"/>
      <c r="D1739" s="202"/>
      <c r="E1739" s="199"/>
      <c r="F1739" s="202"/>
      <c r="G1739" s="202"/>
      <c r="H1739" s="202"/>
      <c r="I1739" s="202"/>
      <c r="O1739" s="202"/>
      <c r="R1739" s="202"/>
    </row>
    <row r="1740" spans="3:18" ht="16.5">
      <c r="C1740" s="202"/>
      <c r="D1740" s="202"/>
      <c r="E1740" s="199"/>
      <c r="F1740" s="202"/>
      <c r="G1740" s="202"/>
      <c r="H1740" s="202"/>
      <c r="I1740" s="202"/>
      <c r="O1740" s="202"/>
      <c r="R1740" s="202"/>
    </row>
    <row r="1741" spans="3:18" ht="16.5">
      <c r="C1741" s="202"/>
      <c r="D1741" s="202"/>
      <c r="E1741" s="199"/>
      <c r="F1741" s="202"/>
      <c r="G1741" s="202"/>
      <c r="H1741" s="202"/>
      <c r="I1741" s="202"/>
      <c r="O1741" s="202"/>
      <c r="R1741" s="202"/>
    </row>
    <row r="1742" spans="3:18" ht="16.5">
      <c r="C1742" s="202"/>
      <c r="D1742" s="202"/>
      <c r="E1742" s="199"/>
      <c r="F1742" s="202"/>
      <c r="G1742" s="202"/>
      <c r="H1742" s="202"/>
      <c r="I1742" s="202"/>
      <c r="O1742" s="202"/>
      <c r="R1742" s="202"/>
    </row>
    <row r="1743" spans="3:18" ht="16.5">
      <c r="C1743" s="202"/>
      <c r="D1743" s="202"/>
      <c r="E1743" s="199"/>
      <c r="F1743" s="202"/>
      <c r="G1743" s="202"/>
      <c r="H1743" s="202"/>
      <c r="I1743" s="202"/>
      <c r="O1743" s="202"/>
      <c r="R1743" s="202"/>
    </row>
    <row r="1744" spans="3:18" ht="16.5">
      <c r="C1744" s="202"/>
      <c r="D1744" s="202"/>
      <c r="E1744" s="199"/>
      <c r="F1744" s="202"/>
      <c r="G1744" s="202"/>
      <c r="H1744" s="202"/>
      <c r="I1744" s="202"/>
      <c r="O1744" s="202"/>
      <c r="R1744" s="202"/>
    </row>
    <row r="1745" spans="3:18" ht="16.5">
      <c r="C1745" s="202"/>
      <c r="D1745" s="202"/>
      <c r="E1745" s="199"/>
      <c r="F1745" s="202"/>
      <c r="G1745" s="202"/>
      <c r="H1745" s="202"/>
      <c r="I1745" s="202"/>
      <c r="O1745" s="202"/>
      <c r="R1745" s="202"/>
    </row>
    <row r="1746" spans="3:18" ht="16.5">
      <c r="C1746" s="202"/>
      <c r="D1746" s="202"/>
      <c r="E1746" s="199"/>
      <c r="F1746" s="202"/>
      <c r="G1746" s="202"/>
      <c r="H1746" s="202"/>
      <c r="I1746" s="202"/>
      <c r="O1746" s="202"/>
      <c r="R1746" s="202"/>
    </row>
    <row r="1747" spans="3:18" ht="16.5">
      <c r="C1747" s="202"/>
      <c r="D1747" s="202"/>
      <c r="E1747" s="199"/>
      <c r="F1747" s="202"/>
      <c r="G1747" s="202"/>
      <c r="H1747" s="202"/>
      <c r="I1747" s="202"/>
      <c r="O1747" s="202"/>
      <c r="R1747" s="202"/>
    </row>
    <row r="1748" spans="3:18" ht="16.5">
      <c r="C1748" s="202"/>
      <c r="D1748" s="202"/>
      <c r="E1748" s="199"/>
      <c r="F1748" s="202"/>
      <c r="G1748" s="202"/>
      <c r="H1748" s="202"/>
      <c r="I1748" s="202"/>
      <c r="O1748" s="202"/>
      <c r="R1748" s="202"/>
    </row>
    <row r="1749" spans="3:18" ht="16.5">
      <c r="C1749" s="202"/>
      <c r="D1749" s="202"/>
      <c r="E1749" s="199"/>
      <c r="F1749" s="202"/>
      <c r="G1749" s="202"/>
      <c r="H1749" s="202"/>
      <c r="I1749" s="202"/>
      <c r="O1749" s="202"/>
      <c r="R1749" s="202"/>
    </row>
    <row r="1750" spans="3:18" ht="16.5">
      <c r="C1750" s="202"/>
      <c r="D1750" s="202"/>
      <c r="E1750" s="199"/>
      <c r="F1750" s="202"/>
      <c r="G1750" s="202"/>
      <c r="H1750" s="202"/>
      <c r="I1750" s="202"/>
      <c r="O1750" s="202"/>
      <c r="R1750" s="202"/>
    </row>
    <row r="1751" spans="3:18" ht="16.5">
      <c r="C1751" s="202"/>
      <c r="D1751" s="202"/>
      <c r="E1751" s="199"/>
      <c r="F1751" s="202"/>
      <c r="G1751" s="202"/>
      <c r="H1751" s="202"/>
      <c r="I1751" s="202"/>
      <c r="O1751" s="202"/>
      <c r="R1751" s="202"/>
    </row>
    <row r="1752" spans="3:18" ht="16.5">
      <c r="C1752" s="202"/>
      <c r="D1752" s="202"/>
      <c r="E1752" s="199"/>
      <c r="F1752" s="202"/>
      <c r="G1752" s="202"/>
      <c r="H1752" s="202"/>
      <c r="I1752" s="202"/>
      <c r="O1752" s="202"/>
      <c r="R1752" s="202"/>
    </row>
    <row r="1753" spans="3:18" ht="16.5">
      <c r="C1753" s="202"/>
      <c r="D1753" s="202"/>
      <c r="E1753" s="199"/>
      <c r="F1753" s="202"/>
      <c r="G1753" s="202"/>
      <c r="H1753" s="202"/>
      <c r="I1753" s="202"/>
      <c r="O1753" s="202"/>
      <c r="R1753" s="202"/>
    </row>
    <row r="1754" spans="3:18" ht="16.5">
      <c r="C1754" s="202"/>
      <c r="D1754" s="202"/>
      <c r="E1754" s="199"/>
      <c r="F1754" s="202"/>
      <c r="G1754" s="202"/>
      <c r="H1754" s="202"/>
      <c r="I1754" s="202"/>
      <c r="O1754" s="202"/>
      <c r="R1754" s="202"/>
    </row>
    <row r="1755" spans="3:18" ht="16.5">
      <c r="C1755" s="202"/>
      <c r="D1755" s="202"/>
      <c r="E1755" s="199"/>
      <c r="F1755" s="202"/>
      <c r="G1755" s="202"/>
      <c r="H1755" s="202"/>
      <c r="I1755" s="202"/>
      <c r="O1755" s="202"/>
      <c r="R1755" s="202"/>
    </row>
    <row r="1756" spans="3:18" ht="16.5">
      <c r="C1756" s="202"/>
      <c r="D1756" s="202"/>
      <c r="E1756" s="199"/>
      <c r="F1756" s="202"/>
      <c r="G1756" s="202"/>
      <c r="H1756" s="202"/>
      <c r="I1756" s="202"/>
      <c r="O1756" s="202"/>
      <c r="R1756" s="202"/>
    </row>
    <row r="1757" spans="3:18" ht="16.5">
      <c r="C1757" s="202"/>
      <c r="D1757" s="202"/>
      <c r="E1757" s="199"/>
      <c r="F1757" s="202"/>
      <c r="G1757" s="202"/>
      <c r="H1757" s="202"/>
      <c r="I1757" s="202"/>
      <c r="O1757" s="202"/>
      <c r="R1757" s="202"/>
    </row>
    <row r="1758" spans="3:18" ht="16.5">
      <c r="C1758" s="202"/>
      <c r="D1758" s="202"/>
      <c r="E1758" s="199"/>
      <c r="F1758" s="202"/>
      <c r="G1758" s="202"/>
      <c r="H1758" s="202"/>
      <c r="I1758" s="202"/>
      <c r="O1758" s="202"/>
      <c r="R1758" s="202"/>
    </row>
    <row r="1759" spans="3:18" ht="16.5">
      <c r="C1759" s="202"/>
      <c r="D1759" s="202"/>
      <c r="E1759" s="199"/>
      <c r="F1759" s="202"/>
      <c r="G1759" s="202"/>
      <c r="H1759" s="202"/>
      <c r="I1759" s="202"/>
      <c r="O1759" s="202"/>
      <c r="R1759" s="202"/>
    </row>
    <row r="1760" spans="3:18" ht="16.5">
      <c r="C1760" s="202"/>
      <c r="D1760" s="202"/>
      <c r="E1760" s="199"/>
      <c r="F1760" s="202"/>
      <c r="G1760" s="202"/>
      <c r="H1760" s="202"/>
      <c r="I1760" s="202"/>
      <c r="O1760" s="202"/>
      <c r="R1760" s="202"/>
    </row>
    <row r="1761" spans="3:18" ht="16.5">
      <c r="C1761" s="202"/>
      <c r="D1761" s="202"/>
      <c r="E1761" s="199"/>
      <c r="F1761" s="202"/>
      <c r="G1761" s="202"/>
      <c r="H1761" s="202"/>
      <c r="I1761" s="202"/>
      <c r="O1761" s="202"/>
      <c r="R1761" s="202"/>
    </row>
    <row r="1762" spans="3:18" ht="16.5">
      <c r="C1762" s="202"/>
      <c r="D1762" s="202"/>
      <c r="E1762" s="199"/>
      <c r="F1762" s="202"/>
      <c r="G1762" s="202"/>
      <c r="H1762" s="202"/>
      <c r="I1762" s="202"/>
      <c r="O1762" s="202"/>
      <c r="R1762" s="202"/>
    </row>
    <row r="1763" spans="3:18" ht="16.5">
      <c r="C1763" s="202"/>
      <c r="D1763" s="202"/>
      <c r="E1763" s="199"/>
      <c r="F1763" s="202"/>
      <c r="G1763" s="202"/>
      <c r="H1763" s="202"/>
      <c r="I1763" s="202"/>
      <c r="O1763" s="202"/>
      <c r="R1763" s="202"/>
    </row>
    <row r="1764" spans="3:18" ht="16.5">
      <c r="C1764" s="202"/>
      <c r="D1764" s="202"/>
      <c r="E1764" s="199"/>
      <c r="F1764" s="202"/>
      <c r="G1764" s="202"/>
      <c r="H1764" s="202"/>
      <c r="I1764" s="202"/>
      <c r="O1764" s="202"/>
      <c r="R1764" s="202"/>
    </row>
    <row r="1765" spans="3:18" ht="16.5">
      <c r="C1765" s="202"/>
      <c r="D1765" s="202"/>
      <c r="E1765" s="199"/>
      <c r="F1765" s="202"/>
      <c r="G1765" s="202"/>
      <c r="H1765" s="202"/>
      <c r="I1765" s="202"/>
      <c r="O1765" s="202"/>
      <c r="R1765" s="202"/>
    </row>
    <row r="1766" spans="3:18" ht="16.5">
      <c r="C1766" s="202"/>
      <c r="D1766" s="202"/>
      <c r="E1766" s="199"/>
      <c r="F1766" s="202"/>
      <c r="G1766" s="202"/>
      <c r="H1766" s="202"/>
      <c r="I1766" s="202"/>
      <c r="O1766" s="202"/>
      <c r="R1766" s="202"/>
    </row>
    <row r="1767" spans="3:18" ht="16.5">
      <c r="C1767" s="202"/>
      <c r="D1767" s="202"/>
      <c r="E1767" s="199"/>
      <c r="F1767" s="202"/>
      <c r="G1767" s="202"/>
      <c r="H1767" s="202"/>
      <c r="I1767" s="202"/>
      <c r="O1767" s="202"/>
      <c r="R1767" s="202"/>
    </row>
    <row r="1768" spans="3:18" ht="16.5">
      <c r="C1768" s="202"/>
      <c r="D1768" s="202"/>
      <c r="E1768" s="199"/>
      <c r="F1768" s="202"/>
      <c r="G1768" s="202"/>
      <c r="H1768" s="202"/>
      <c r="I1768" s="202"/>
      <c r="O1768" s="202"/>
      <c r="R1768" s="202"/>
    </row>
    <row r="1769" spans="3:18" ht="16.5">
      <c r="C1769" s="202"/>
      <c r="D1769" s="202"/>
      <c r="E1769" s="199"/>
      <c r="F1769" s="202"/>
      <c r="G1769" s="202"/>
      <c r="H1769" s="202"/>
      <c r="I1769" s="202"/>
      <c r="O1769" s="202"/>
      <c r="R1769" s="202"/>
    </row>
    <row r="1770" spans="3:18" ht="16.5">
      <c r="C1770" s="202"/>
      <c r="D1770" s="202"/>
      <c r="E1770" s="199"/>
      <c r="F1770" s="202"/>
      <c r="G1770" s="202"/>
      <c r="H1770" s="202"/>
      <c r="I1770" s="202"/>
      <c r="O1770" s="202"/>
      <c r="R1770" s="202"/>
    </row>
    <row r="1771" spans="3:18" ht="16.5">
      <c r="C1771" s="202"/>
      <c r="D1771" s="202"/>
      <c r="E1771" s="199"/>
      <c r="F1771" s="202"/>
      <c r="G1771" s="202"/>
      <c r="H1771" s="202"/>
      <c r="I1771" s="202"/>
      <c r="O1771" s="202"/>
      <c r="R1771" s="202"/>
    </row>
    <row r="1772" spans="3:18" ht="16.5">
      <c r="C1772" s="202"/>
      <c r="D1772" s="202"/>
      <c r="E1772" s="199"/>
      <c r="F1772" s="202"/>
      <c r="G1772" s="202"/>
      <c r="H1772" s="202"/>
      <c r="I1772" s="202"/>
      <c r="O1772" s="202"/>
      <c r="R1772" s="202"/>
    </row>
    <row r="1773" spans="3:18" ht="16.5">
      <c r="C1773" s="202"/>
      <c r="D1773" s="202"/>
      <c r="E1773" s="199"/>
      <c r="F1773" s="202"/>
      <c r="G1773" s="202"/>
      <c r="H1773" s="202"/>
      <c r="I1773" s="202"/>
      <c r="O1773" s="202"/>
      <c r="R1773" s="202"/>
    </row>
    <row r="1774" spans="3:18" ht="16.5">
      <c r="C1774" s="202"/>
      <c r="D1774" s="202"/>
      <c r="E1774" s="199"/>
      <c r="F1774" s="202"/>
      <c r="G1774" s="202"/>
      <c r="H1774" s="202"/>
      <c r="I1774" s="202"/>
      <c r="O1774" s="202"/>
      <c r="R1774" s="202"/>
    </row>
    <row r="1775" spans="3:18" ht="16.5">
      <c r="C1775" s="202"/>
      <c r="D1775" s="202"/>
      <c r="E1775" s="199"/>
      <c r="F1775" s="202"/>
      <c r="G1775" s="202"/>
      <c r="H1775" s="202"/>
      <c r="I1775" s="202"/>
      <c r="O1775" s="202"/>
      <c r="R1775" s="202"/>
    </row>
    <row r="1776" spans="3:18" ht="16.5">
      <c r="C1776" s="202"/>
      <c r="D1776" s="202"/>
      <c r="E1776" s="199"/>
      <c r="F1776" s="202"/>
      <c r="G1776" s="202"/>
      <c r="H1776" s="202"/>
      <c r="I1776" s="202"/>
      <c r="O1776" s="202"/>
      <c r="R1776" s="202"/>
    </row>
    <row r="1777" spans="3:18" ht="16.5">
      <c r="C1777" s="202"/>
      <c r="D1777" s="202"/>
      <c r="E1777" s="199"/>
      <c r="F1777" s="202"/>
      <c r="G1777" s="202"/>
      <c r="H1777" s="202"/>
      <c r="I1777" s="202"/>
      <c r="O1777" s="202"/>
      <c r="R1777" s="202"/>
    </row>
    <row r="1778" spans="3:18" ht="16.5">
      <c r="C1778" s="202"/>
      <c r="D1778" s="202"/>
      <c r="E1778" s="199"/>
      <c r="F1778" s="202"/>
      <c r="G1778" s="202"/>
      <c r="H1778" s="202"/>
      <c r="I1778" s="202"/>
      <c r="O1778" s="202"/>
      <c r="R1778" s="202"/>
    </row>
    <row r="1779" spans="3:18" ht="16.5">
      <c r="C1779" s="202"/>
      <c r="D1779" s="202"/>
      <c r="E1779" s="199"/>
      <c r="F1779" s="202"/>
      <c r="G1779" s="202"/>
      <c r="H1779" s="202"/>
      <c r="I1779" s="202"/>
      <c r="O1779" s="202"/>
      <c r="R1779" s="202"/>
    </row>
    <row r="1780" spans="3:18" ht="16.5">
      <c r="C1780" s="202"/>
      <c r="D1780" s="202"/>
      <c r="E1780" s="199"/>
      <c r="F1780" s="202"/>
      <c r="G1780" s="202"/>
      <c r="H1780" s="202"/>
      <c r="I1780" s="202"/>
      <c r="O1780" s="202"/>
      <c r="R1780" s="202"/>
    </row>
    <row r="1781" spans="3:18" ht="16.5">
      <c r="C1781" s="202"/>
      <c r="D1781" s="202"/>
      <c r="E1781" s="199"/>
      <c r="F1781" s="202"/>
      <c r="G1781" s="202"/>
      <c r="H1781" s="202"/>
      <c r="I1781" s="202"/>
      <c r="O1781" s="202"/>
      <c r="R1781" s="202"/>
    </row>
    <row r="1782" spans="3:18" ht="16.5">
      <c r="C1782" s="202"/>
      <c r="D1782" s="202"/>
      <c r="E1782" s="199"/>
      <c r="F1782" s="202"/>
      <c r="G1782" s="202"/>
      <c r="H1782" s="202"/>
      <c r="I1782" s="202"/>
      <c r="O1782" s="202"/>
      <c r="R1782" s="202"/>
    </row>
    <row r="1783" spans="3:18" ht="16.5">
      <c r="C1783" s="202"/>
      <c r="D1783" s="202"/>
      <c r="E1783" s="199"/>
      <c r="F1783" s="202"/>
      <c r="G1783" s="202"/>
      <c r="H1783" s="202"/>
      <c r="I1783" s="202"/>
      <c r="O1783" s="202"/>
      <c r="R1783" s="202"/>
    </row>
    <row r="1784" spans="3:18" ht="16.5">
      <c r="C1784" s="202"/>
      <c r="D1784" s="202"/>
      <c r="E1784" s="199"/>
      <c r="F1784" s="202"/>
      <c r="G1784" s="202"/>
      <c r="H1784" s="202"/>
      <c r="I1784" s="202"/>
      <c r="O1784" s="202"/>
      <c r="R1784" s="202"/>
    </row>
    <row r="1785" spans="3:18" ht="16.5">
      <c r="C1785" s="202"/>
      <c r="D1785" s="202"/>
      <c r="E1785" s="199"/>
      <c r="F1785" s="202"/>
      <c r="G1785" s="202"/>
      <c r="H1785" s="202"/>
      <c r="I1785" s="202"/>
      <c r="O1785" s="202"/>
      <c r="R1785" s="202"/>
    </row>
    <row r="1786" spans="3:18" ht="16.5">
      <c r="C1786" s="202"/>
      <c r="D1786" s="202"/>
      <c r="E1786" s="199"/>
      <c r="F1786" s="202"/>
      <c r="G1786" s="202"/>
      <c r="H1786" s="202"/>
      <c r="I1786" s="202"/>
      <c r="O1786" s="202"/>
      <c r="R1786" s="202"/>
    </row>
    <row r="1787" spans="3:18" ht="16.5">
      <c r="C1787" s="202"/>
      <c r="D1787" s="202"/>
      <c r="E1787" s="199"/>
      <c r="F1787" s="202"/>
      <c r="G1787" s="202"/>
      <c r="H1787" s="202"/>
      <c r="I1787" s="202"/>
      <c r="O1787" s="202"/>
      <c r="R1787" s="202"/>
    </row>
    <row r="1788" spans="3:18" ht="16.5">
      <c r="C1788" s="202"/>
      <c r="D1788" s="202"/>
      <c r="E1788" s="199"/>
      <c r="F1788" s="202"/>
      <c r="G1788" s="202"/>
      <c r="H1788" s="202"/>
      <c r="I1788" s="202"/>
      <c r="O1788" s="202"/>
      <c r="R1788" s="202"/>
    </row>
    <row r="1789" spans="3:18" ht="16.5">
      <c r="C1789" s="202"/>
      <c r="D1789" s="202"/>
      <c r="E1789" s="199"/>
      <c r="F1789" s="202"/>
      <c r="G1789" s="202"/>
      <c r="H1789" s="202"/>
      <c r="I1789" s="202"/>
      <c r="O1789" s="202"/>
      <c r="R1789" s="202"/>
    </row>
    <row r="1790" spans="3:18" ht="16.5">
      <c r="C1790" s="202"/>
      <c r="D1790" s="202"/>
      <c r="E1790" s="199"/>
      <c r="F1790" s="202"/>
      <c r="G1790" s="202"/>
      <c r="H1790" s="202"/>
      <c r="I1790" s="202"/>
      <c r="O1790" s="202"/>
      <c r="R1790" s="202"/>
    </row>
    <row r="1791" spans="3:18" ht="16.5">
      <c r="C1791" s="202"/>
      <c r="D1791" s="202"/>
      <c r="E1791" s="199"/>
      <c r="F1791" s="202"/>
      <c r="G1791" s="202"/>
      <c r="H1791" s="202"/>
      <c r="I1791" s="202"/>
      <c r="O1791" s="202"/>
      <c r="R1791" s="202"/>
    </row>
    <row r="1792" spans="3:18" ht="16.5">
      <c r="C1792" s="202"/>
      <c r="D1792" s="202"/>
      <c r="E1792" s="199"/>
      <c r="F1792" s="202"/>
      <c r="G1792" s="202"/>
      <c r="H1792" s="202"/>
      <c r="I1792" s="202"/>
      <c r="O1792" s="202"/>
      <c r="R1792" s="202"/>
    </row>
    <row r="1793" spans="3:18" ht="16.5">
      <c r="C1793" s="202"/>
      <c r="D1793" s="202"/>
      <c r="E1793" s="199"/>
      <c r="F1793" s="202"/>
      <c r="G1793" s="202"/>
      <c r="H1793" s="202"/>
      <c r="I1793" s="202"/>
      <c r="O1793" s="202"/>
      <c r="R1793" s="202"/>
    </row>
    <row r="1794" spans="3:18" ht="16.5">
      <c r="C1794" s="202"/>
      <c r="D1794" s="202"/>
      <c r="E1794" s="199"/>
      <c r="F1794" s="202"/>
      <c r="G1794" s="202"/>
      <c r="H1794" s="202"/>
      <c r="I1794" s="202"/>
      <c r="O1794" s="202"/>
      <c r="R1794" s="202"/>
    </row>
    <row r="1795" spans="3:18" ht="16.5">
      <c r="C1795" s="202"/>
      <c r="D1795" s="202"/>
      <c r="E1795" s="199"/>
      <c r="F1795" s="202"/>
      <c r="G1795" s="202"/>
      <c r="H1795" s="202"/>
      <c r="I1795" s="202"/>
      <c r="O1795" s="202"/>
      <c r="R1795" s="202"/>
    </row>
    <row r="1796" spans="3:18" ht="16.5">
      <c r="C1796" s="202"/>
      <c r="D1796" s="202"/>
      <c r="E1796" s="199"/>
      <c r="F1796" s="202"/>
      <c r="G1796" s="202"/>
      <c r="H1796" s="202"/>
      <c r="I1796" s="202"/>
      <c r="O1796" s="202"/>
      <c r="R1796" s="202"/>
    </row>
    <row r="1797" spans="3:18" ht="16.5">
      <c r="C1797" s="202"/>
      <c r="D1797" s="202"/>
      <c r="E1797" s="199"/>
      <c r="F1797" s="202"/>
      <c r="G1797" s="202"/>
      <c r="H1797" s="202"/>
      <c r="I1797" s="202"/>
      <c r="O1797" s="202"/>
      <c r="R1797" s="202"/>
    </row>
    <row r="1798" spans="3:18" ht="16.5">
      <c r="C1798" s="202"/>
      <c r="D1798" s="202"/>
      <c r="E1798" s="199"/>
      <c r="F1798" s="202"/>
      <c r="G1798" s="202"/>
      <c r="H1798" s="202"/>
      <c r="I1798" s="202"/>
      <c r="O1798" s="202"/>
      <c r="R1798" s="202"/>
    </row>
    <row r="1799" spans="3:18" ht="16.5">
      <c r="C1799" s="202"/>
      <c r="D1799" s="202"/>
      <c r="E1799" s="199"/>
      <c r="F1799" s="202"/>
      <c r="G1799" s="202"/>
      <c r="H1799" s="202"/>
      <c r="I1799" s="202"/>
      <c r="O1799" s="202"/>
      <c r="R1799" s="202"/>
    </row>
    <row r="1800" spans="3:18" ht="16.5">
      <c r="C1800" s="202"/>
      <c r="D1800" s="202"/>
      <c r="E1800" s="199"/>
      <c r="F1800" s="202"/>
      <c r="G1800" s="202"/>
      <c r="H1800" s="202"/>
      <c r="I1800" s="202"/>
      <c r="O1800" s="202"/>
      <c r="R1800" s="202"/>
    </row>
    <row r="1801" spans="3:18" ht="16.5">
      <c r="C1801" s="202"/>
      <c r="D1801" s="202"/>
      <c r="E1801" s="199"/>
      <c r="F1801" s="202"/>
      <c r="G1801" s="202"/>
      <c r="H1801" s="202"/>
      <c r="I1801" s="202"/>
      <c r="O1801" s="202"/>
      <c r="R1801" s="202"/>
    </row>
    <row r="1802" spans="3:18" ht="16.5">
      <c r="C1802" s="202"/>
      <c r="D1802" s="202"/>
      <c r="E1802" s="199"/>
      <c r="F1802" s="202"/>
      <c r="G1802" s="202"/>
      <c r="H1802" s="202"/>
      <c r="I1802" s="202"/>
      <c r="O1802" s="202"/>
      <c r="R1802" s="202"/>
    </row>
    <row r="1803" spans="3:18" ht="16.5">
      <c r="C1803" s="202"/>
      <c r="D1803" s="202"/>
      <c r="E1803" s="199"/>
      <c r="F1803" s="202"/>
      <c r="G1803" s="202"/>
      <c r="H1803" s="202"/>
      <c r="I1803" s="202"/>
      <c r="O1803" s="202"/>
      <c r="R1803" s="202"/>
    </row>
    <row r="1804" spans="3:18" ht="16.5">
      <c r="C1804" s="202"/>
      <c r="D1804" s="202"/>
      <c r="E1804" s="199"/>
      <c r="F1804" s="202"/>
      <c r="G1804" s="202"/>
      <c r="H1804" s="202"/>
      <c r="I1804" s="202"/>
      <c r="O1804" s="202"/>
      <c r="R1804" s="202"/>
    </row>
    <row r="1805" spans="3:18" ht="16.5">
      <c r="C1805" s="202"/>
      <c r="D1805" s="202"/>
      <c r="E1805" s="199"/>
      <c r="F1805" s="202"/>
      <c r="G1805" s="202"/>
      <c r="H1805" s="202"/>
      <c r="I1805" s="202"/>
      <c r="O1805" s="202"/>
      <c r="R1805" s="202"/>
    </row>
    <row r="1806" spans="3:18" ht="16.5">
      <c r="C1806" s="202"/>
      <c r="D1806" s="202"/>
      <c r="E1806" s="199"/>
      <c r="F1806" s="202"/>
      <c r="G1806" s="202"/>
      <c r="H1806" s="202"/>
      <c r="I1806" s="202"/>
      <c r="O1806" s="202"/>
      <c r="R1806" s="202"/>
    </row>
    <row r="1807" spans="3:18" ht="16.5">
      <c r="C1807" s="202"/>
      <c r="D1807" s="202"/>
      <c r="E1807" s="199"/>
      <c r="F1807" s="202"/>
      <c r="G1807" s="202"/>
      <c r="H1807" s="202"/>
      <c r="I1807" s="202"/>
      <c r="O1807" s="202"/>
      <c r="R1807" s="202"/>
    </row>
    <row r="1808" spans="3:18" ht="16.5">
      <c r="C1808" s="202"/>
      <c r="D1808" s="202"/>
      <c r="E1808" s="199"/>
      <c r="F1808" s="202"/>
      <c r="G1808" s="202"/>
      <c r="H1808" s="202"/>
      <c r="I1808" s="202"/>
      <c r="O1808" s="202"/>
      <c r="R1808" s="202"/>
    </row>
    <row r="1809" spans="3:18" ht="16.5">
      <c r="C1809" s="202"/>
      <c r="D1809" s="202"/>
      <c r="E1809" s="199"/>
      <c r="F1809" s="202"/>
      <c r="G1809" s="202"/>
      <c r="H1809" s="202"/>
      <c r="I1809" s="202"/>
      <c r="O1809" s="202"/>
      <c r="R1809" s="202"/>
    </row>
    <row r="1810" spans="3:18" ht="16.5">
      <c r="C1810" s="202"/>
      <c r="D1810" s="202"/>
      <c r="E1810" s="199"/>
      <c r="F1810" s="202"/>
      <c r="G1810" s="202"/>
      <c r="H1810" s="202"/>
      <c r="I1810" s="202"/>
      <c r="O1810" s="202"/>
      <c r="R1810" s="202"/>
    </row>
    <row r="1811" spans="3:18" ht="16.5">
      <c r="C1811" s="202"/>
      <c r="D1811" s="202"/>
      <c r="E1811" s="199"/>
      <c r="F1811" s="202"/>
      <c r="G1811" s="202"/>
      <c r="H1811" s="202"/>
      <c r="I1811" s="202"/>
      <c r="O1811" s="202"/>
      <c r="R1811" s="202"/>
    </row>
    <row r="1812" spans="3:18" ht="16.5">
      <c r="C1812" s="202"/>
      <c r="D1812" s="202"/>
      <c r="E1812" s="199"/>
      <c r="F1812" s="202"/>
      <c r="G1812" s="202"/>
      <c r="H1812" s="202"/>
      <c r="I1812" s="202"/>
      <c r="O1812" s="202"/>
      <c r="R1812" s="202"/>
    </row>
    <row r="1813" spans="3:18" ht="16.5">
      <c r="C1813" s="202"/>
      <c r="D1813" s="202"/>
      <c r="E1813" s="199"/>
      <c r="F1813" s="202"/>
      <c r="G1813" s="202"/>
      <c r="H1813" s="202"/>
      <c r="I1813" s="202"/>
      <c r="O1813" s="202"/>
      <c r="R1813" s="202"/>
    </row>
    <row r="1814" spans="3:18" ht="16.5">
      <c r="C1814" s="202"/>
      <c r="D1814" s="202"/>
      <c r="E1814" s="199"/>
      <c r="F1814" s="202"/>
      <c r="G1814" s="202"/>
      <c r="H1814" s="202"/>
      <c r="I1814" s="202"/>
      <c r="O1814" s="202"/>
      <c r="R1814" s="202"/>
    </row>
    <row r="1815" spans="3:18" ht="16.5">
      <c r="C1815" s="202"/>
      <c r="D1815" s="202"/>
      <c r="E1815" s="199"/>
      <c r="F1815" s="202"/>
      <c r="G1815" s="202"/>
      <c r="H1815" s="202"/>
      <c r="I1815" s="202"/>
      <c r="O1815" s="202"/>
      <c r="R1815" s="202"/>
    </row>
    <row r="1816" spans="3:18" ht="16.5">
      <c r="C1816" s="202"/>
      <c r="D1816" s="202"/>
      <c r="E1816" s="199"/>
      <c r="F1816" s="202"/>
      <c r="G1816" s="202"/>
      <c r="H1816" s="202"/>
      <c r="I1816" s="202"/>
      <c r="O1816" s="202"/>
      <c r="R1816" s="202"/>
    </row>
    <row r="1817" spans="3:18" ht="16.5">
      <c r="C1817" s="202"/>
      <c r="D1817" s="202"/>
      <c r="E1817" s="199"/>
      <c r="F1817" s="202"/>
      <c r="G1817" s="202"/>
      <c r="H1817" s="202"/>
      <c r="I1817" s="202"/>
      <c r="O1817" s="202"/>
      <c r="R1817" s="202"/>
    </row>
    <row r="1818" spans="3:18" ht="16.5">
      <c r="C1818" s="202"/>
      <c r="D1818" s="202"/>
      <c r="E1818" s="199"/>
      <c r="F1818" s="202"/>
      <c r="G1818" s="202"/>
      <c r="H1818" s="202"/>
      <c r="I1818" s="202"/>
      <c r="O1818" s="202"/>
      <c r="R1818" s="202"/>
    </row>
    <row r="1819" spans="3:18" ht="16.5">
      <c r="C1819" s="202"/>
      <c r="D1819" s="202"/>
      <c r="E1819" s="199"/>
      <c r="F1819" s="202"/>
      <c r="G1819" s="202"/>
      <c r="H1819" s="202"/>
      <c r="I1819" s="202"/>
      <c r="O1819" s="202"/>
      <c r="R1819" s="202"/>
    </row>
    <row r="1820" spans="3:18" ht="16.5">
      <c r="C1820" s="202"/>
      <c r="D1820" s="202"/>
      <c r="E1820" s="199"/>
      <c r="F1820" s="202"/>
      <c r="G1820" s="202"/>
      <c r="H1820" s="202"/>
      <c r="I1820" s="202"/>
      <c r="O1820" s="202"/>
      <c r="R1820" s="202"/>
    </row>
    <row r="1821" spans="3:18" ht="16.5">
      <c r="C1821" s="202"/>
      <c r="D1821" s="202"/>
      <c r="E1821" s="199"/>
      <c r="F1821" s="202"/>
      <c r="G1821" s="202"/>
      <c r="H1821" s="202"/>
      <c r="I1821" s="202"/>
      <c r="O1821" s="202"/>
      <c r="R1821" s="202"/>
    </row>
    <row r="1822" spans="3:18" ht="16.5">
      <c r="C1822" s="202"/>
      <c r="D1822" s="202"/>
      <c r="E1822" s="199"/>
      <c r="F1822" s="202"/>
      <c r="G1822" s="202"/>
      <c r="H1822" s="202"/>
      <c r="I1822" s="202"/>
      <c r="O1822" s="202"/>
      <c r="R1822" s="202"/>
    </row>
    <row r="1823" spans="3:18" ht="16.5">
      <c r="C1823" s="202"/>
      <c r="D1823" s="202"/>
      <c r="E1823" s="199"/>
      <c r="F1823" s="202"/>
      <c r="G1823" s="202"/>
      <c r="H1823" s="202"/>
      <c r="I1823" s="202"/>
      <c r="O1823" s="202"/>
      <c r="R1823" s="202"/>
    </row>
    <row r="1824" spans="3:18" ht="16.5">
      <c r="C1824" s="202"/>
      <c r="D1824" s="202"/>
      <c r="E1824" s="199"/>
      <c r="F1824" s="202"/>
      <c r="G1824" s="202"/>
      <c r="H1824" s="202"/>
      <c r="I1824" s="202"/>
      <c r="O1824" s="202"/>
      <c r="R1824" s="202"/>
    </row>
    <row r="1825" spans="3:18" ht="16.5">
      <c r="C1825" s="202"/>
      <c r="D1825" s="202"/>
      <c r="E1825" s="199"/>
      <c r="F1825" s="202"/>
      <c r="G1825" s="202"/>
      <c r="H1825" s="202"/>
      <c r="I1825" s="202"/>
      <c r="O1825" s="202"/>
      <c r="R1825" s="202"/>
    </row>
    <row r="1826" spans="3:18" ht="16.5">
      <c r="C1826" s="202"/>
      <c r="D1826" s="202"/>
      <c r="E1826" s="199"/>
      <c r="F1826" s="202"/>
      <c r="G1826" s="202"/>
      <c r="H1826" s="202"/>
      <c r="I1826" s="202"/>
      <c r="O1826" s="202"/>
      <c r="R1826" s="202"/>
    </row>
    <row r="1827" spans="3:18" ht="16.5">
      <c r="C1827" s="202"/>
      <c r="D1827" s="202"/>
      <c r="E1827" s="199"/>
      <c r="F1827" s="202"/>
      <c r="G1827" s="202"/>
      <c r="H1827" s="202"/>
      <c r="I1827" s="202"/>
      <c r="O1827" s="202"/>
      <c r="R1827" s="202"/>
    </row>
    <row r="1828" spans="3:18" ht="16.5">
      <c r="C1828" s="202"/>
      <c r="D1828" s="202"/>
      <c r="E1828" s="199"/>
      <c r="F1828" s="202"/>
      <c r="G1828" s="202"/>
      <c r="H1828" s="202"/>
      <c r="I1828" s="202"/>
      <c r="O1828" s="202"/>
      <c r="R1828" s="202"/>
    </row>
    <row r="1829" spans="3:18" ht="16.5">
      <c r="C1829" s="202"/>
      <c r="D1829" s="202"/>
      <c r="E1829" s="199"/>
      <c r="F1829" s="202"/>
      <c r="G1829" s="202"/>
      <c r="H1829" s="202"/>
      <c r="I1829" s="202"/>
      <c r="O1829" s="202"/>
      <c r="R1829" s="202"/>
    </row>
    <row r="1830" spans="3:18" ht="16.5">
      <c r="C1830" s="202"/>
      <c r="D1830" s="202"/>
      <c r="E1830" s="199"/>
      <c r="F1830" s="202"/>
      <c r="G1830" s="202"/>
      <c r="H1830" s="202"/>
      <c r="I1830" s="202"/>
      <c r="O1830" s="202"/>
      <c r="R1830" s="202"/>
    </row>
    <row r="1831" spans="3:18" ht="16.5">
      <c r="C1831" s="202"/>
      <c r="D1831" s="202"/>
      <c r="E1831" s="199"/>
      <c r="F1831" s="202"/>
      <c r="G1831" s="202"/>
      <c r="H1831" s="202"/>
      <c r="I1831" s="202"/>
      <c r="O1831" s="202"/>
      <c r="R1831" s="202"/>
    </row>
    <row r="1832" spans="3:18" ht="16.5">
      <c r="C1832" s="202"/>
      <c r="D1832" s="202"/>
      <c r="E1832" s="199"/>
      <c r="F1832" s="202"/>
      <c r="G1832" s="202"/>
      <c r="H1832" s="202"/>
      <c r="I1832" s="202"/>
      <c r="O1832" s="202"/>
      <c r="R1832" s="202"/>
    </row>
    <row r="1833" spans="3:18" ht="16.5">
      <c r="C1833" s="202"/>
      <c r="D1833" s="202"/>
      <c r="E1833" s="199"/>
      <c r="F1833" s="202"/>
      <c r="G1833" s="202"/>
      <c r="H1833" s="202"/>
      <c r="I1833" s="202"/>
      <c r="O1833" s="202"/>
      <c r="R1833" s="202"/>
    </row>
    <row r="1834" spans="3:18" ht="16.5">
      <c r="C1834" s="202"/>
      <c r="D1834" s="202"/>
      <c r="E1834" s="199"/>
      <c r="F1834" s="202"/>
      <c r="G1834" s="202"/>
      <c r="H1834" s="202"/>
      <c r="I1834" s="202"/>
      <c r="O1834" s="202"/>
      <c r="R1834" s="202"/>
    </row>
    <row r="1835" spans="3:18" ht="16.5">
      <c r="C1835" s="202"/>
      <c r="D1835" s="202"/>
      <c r="E1835" s="199"/>
      <c r="F1835" s="202"/>
      <c r="G1835" s="202"/>
      <c r="H1835" s="202"/>
      <c r="I1835" s="202"/>
      <c r="O1835" s="202"/>
      <c r="R1835" s="202"/>
    </row>
    <row r="1836" spans="3:18" ht="16.5">
      <c r="C1836" s="202"/>
      <c r="D1836" s="202"/>
      <c r="E1836" s="199"/>
      <c r="F1836" s="202"/>
      <c r="G1836" s="202"/>
      <c r="H1836" s="202"/>
      <c r="I1836" s="202"/>
      <c r="O1836" s="202"/>
      <c r="R1836" s="202"/>
    </row>
    <row r="1837" spans="3:18" ht="16.5">
      <c r="C1837" s="202"/>
      <c r="D1837" s="202"/>
      <c r="E1837" s="199"/>
      <c r="F1837" s="202"/>
      <c r="G1837" s="202"/>
      <c r="H1837" s="202"/>
      <c r="I1837" s="202"/>
      <c r="O1837" s="202"/>
      <c r="R1837" s="202"/>
    </row>
    <row r="1838" spans="3:18" ht="16.5">
      <c r="C1838" s="202"/>
      <c r="D1838" s="202"/>
      <c r="E1838" s="199"/>
      <c r="F1838" s="202"/>
      <c r="G1838" s="202"/>
      <c r="H1838" s="202"/>
      <c r="I1838" s="202"/>
      <c r="O1838" s="202"/>
      <c r="R1838" s="202"/>
    </row>
    <row r="1839" spans="3:18" ht="16.5">
      <c r="C1839" s="202"/>
      <c r="D1839" s="202"/>
      <c r="E1839" s="199"/>
      <c r="F1839" s="202"/>
      <c r="G1839" s="202"/>
      <c r="H1839" s="202"/>
      <c r="I1839" s="202"/>
      <c r="O1839" s="202"/>
      <c r="R1839" s="202"/>
    </row>
    <row r="1840" spans="3:18" ht="16.5">
      <c r="C1840" s="202"/>
      <c r="D1840" s="202"/>
      <c r="E1840" s="199"/>
      <c r="F1840" s="202"/>
      <c r="G1840" s="202"/>
      <c r="H1840" s="202"/>
      <c r="I1840" s="202"/>
      <c r="O1840" s="202"/>
      <c r="R1840" s="202"/>
    </row>
    <row r="1841" spans="3:18" ht="16.5">
      <c r="C1841" s="202"/>
      <c r="D1841" s="202"/>
      <c r="E1841" s="199"/>
      <c r="F1841" s="202"/>
      <c r="G1841" s="202"/>
      <c r="H1841" s="202"/>
      <c r="I1841" s="202"/>
      <c r="O1841" s="202"/>
      <c r="R1841" s="202"/>
    </row>
    <row r="1842" spans="3:18" ht="16.5">
      <c r="C1842" s="202"/>
      <c r="D1842" s="202"/>
      <c r="E1842" s="199"/>
      <c r="F1842" s="202"/>
      <c r="G1842" s="202"/>
      <c r="H1842" s="202"/>
      <c r="I1842" s="202"/>
      <c r="O1842" s="202"/>
      <c r="R1842" s="202"/>
    </row>
    <row r="1843" spans="3:18" ht="16.5">
      <c r="C1843" s="202"/>
      <c r="D1843" s="202"/>
      <c r="E1843" s="199"/>
      <c r="F1843" s="202"/>
      <c r="G1843" s="202"/>
      <c r="H1843" s="202"/>
      <c r="I1843" s="202"/>
      <c r="O1843" s="202"/>
      <c r="R1843" s="202"/>
    </row>
    <row r="1844" spans="3:18" ht="16.5">
      <c r="C1844" s="202"/>
      <c r="D1844" s="202"/>
      <c r="E1844" s="199"/>
      <c r="F1844" s="202"/>
      <c r="G1844" s="202"/>
      <c r="H1844" s="202"/>
      <c r="I1844" s="202"/>
      <c r="O1844" s="202"/>
      <c r="R1844" s="202"/>
    </row>
    <row r="1845" spans="3:18" ht="16.5">
      <c r="C1845" s="202"/>
      <c r="D1845" s="202"/>
      <c r="E1845" s="199"/>
      <c r="F1845" s="202"/>
      <c r="G1845" s="202"/>
      <c r="H1845" s="202"/>
      <c r="I1845" s="202"/>
      <c r="O1845" s="202"/>
      <c r="R1845" s="202"/>
    </row>
    <row r="1846" spans="3:18" ht="16.5">
      <c r="C1846" s="202"/>
      <c r="D1846" s="202"/>
      <c r="E1846" s="199"/>
      <c r="F1846" s="202"/>
      <c r="G1846" s="202"/>
      <c r="H1846" s="202"/>
      <c r="I1846" s="202"/>
      <c r="O1846" s="202"/>
      <c r="R1846" s="202"/>
    </row>
    <row r="1847" spans="3:18" ht="16.5">
      <c r="C1847" s="202"/>
      <c r="D1847" s="202"/>
      <c r="E1847" s="199"/>
      <c r="F1847" s="202"/>
      <c r="G1847" s="202"/>
      <c r="H1847" s="202"/>
      <c r="I1847" s="202"/>
      <c r="O1847" s="202"/>
      <c r="R1847" s="202"/>
    </row>
    <row r="1848" spans="3:18" ht="16.5">
      <c r="C1848" s="202"/>
      <c r="D1848" s="202"/>
      <c r="E1848" s="199"/>
      <c r="F1848" s="202"/>
      <c r="G1848" s="202"/>
      <c r="H1848" s="202"/>
      <c r="I1848" s="202"/>
      <c r="O1848" s="202"/>
      <c r="R1848" s="202"/>
    </row>
    <row r="1849" spans="3:18" ht="16.5">
      <c r="C1849" s="202"/>
      <c r="D1849" s="202"/>
      <c r="E1849" s="199"/>
      <c r="F1849" s="202"/>
      <c r="G1849" s="202"/>
      <c r="H1849" s="202"/>
      <c r="I1849" s="202"/>
      <c r="O1849" s="202"/>
      <c r="R1849" s="202"/>
    </row>
    <row r="1850" spans="3:18" ht="16.5">
      <c r="C1850" s="202"/>
      <c r="D1850" s="202"/>
      <c r="E1850" s="199"/>
      <c r="F1850" s="202"/>
      <c r="G1850" s="202"/>
      <c r="H1850" s="202"/>
      <c r="I1850" s="202"/>
      <c r="O1850" s="202"/>
      <c r="R1850" s="202"/>
    </row>
    <row r="1851" spans="3:18" ht="16.5">
      <c r="C1851" s="202"/>
      <c r="D1851" s="202"/>
      <c r="E1851" s="199"/>
      <c r="F1851" s="202"/>
      <c r="G1851" s="202"/>
      <c r="H1851" s="202"/>
      <c r="I1851" s="202"/>
      <c r="O1851" s="202"/>
      <c r="R1851" s="202"/>
    </row>
    <row r="1852" spans="3:18" ht="16.5">
      <c r="C1852" s="202"/>
      <c r="D1852" s="202"/>
      <c r="E1852" s="199"/>
      <c r="F1852" s="202"/>
      <c r="G1852" s="202"/>
      <c r="H1852" s="202"/>
      <c r="I1852" s="202"/>
      <c r="O1852" s="202"/>
      <c r="R1852" s="202"/>
    </row>
    <row r="1853" spans="3:18" ht="16.5">
      <c r="C1853" s="202"/>
      <c r="D1853" s="202"/>
      <c r="E1853" s="199"/>
      <c r="F1853" s="202"/>
      <c r="G1853" s="202"/>
      <c r="H1853" s="202"/>
      <c r="I1853" s="202"/>
      <c r="O1853" s="202"/>
      <c r="R1853" s="202"/>
    </row>
    <row r="1854" spans="3:18" ht="16.5">
      <c r="C1854" s="202"/>
      <c r="D1854" s="202"/>
      <c r="E1854" s="199"/>
      <c r="F1854" s="202"/>
      <c r="G1854" s="202"/>
      <c r="H1854" s="202"/>
      <c r="I1854" s="202"/>
      <c r="O1854" s="202"/>
      <c r="R1854" s="202"/>
    </row>
    <row r="1855" spans="3:18" ht="16.5">
      <c r="C1855" s="202"/>
      <c r="D1855" s="202"/>
      <c r="E1855" s="199"/>
      <c r="F1855" s="202"/>
      <c r="G1855" s="202"/>
      <c r="H1855" s="202"/>
      <c r="I1855" s="202"/>
      <c r="O1855" s="202"/>
      <c r="R1855" s="202"/>
    </row>
    <row r="1856" spans="3:18" ht="16.5">
      <c r="C1856" s="202"/>
      <c r="D1856" s="202"/>
      <c r="E1856" s="199"/>
      <c r="F1856" s="202"/>
      <c r="G1856" s="202"/>
      <c r="H1856" s="202"/>
      <c r="I1856" s="202"/>
      <c r="O1856" s="202"/>
      <c r="R1856" s="202"/>
    </row>
    <row r="1857" spans="3:18" ht="16.5">
      <c r="C1857" s="202"/>
      <c r="D1857" s="202"/>
      <c r="E1857" s="199"/>
      <c r="F1857" s="202"/>
      <c r="G1857" s="202"/>
      <c r="H1857" s="202"/>
      <c r="I1857" s="202"/>
      <c r="O1857" s="202"/>
      <c r="R1857" s="202"/>
    </row>
    <row r="1858" spans="3:18" ht="16.5">
      <c r="C1858" s="202"/>
      <c r="D1858" s="202"/>
      <c r="E1858" s="199"/>
      <c r="F1858" s="202"/>
      <c r="G1858" s="202"/>
      <c r="H1858" s="202"/>
      <c r="I1858" s="202"/>
      <c r="O1858" s="202"/>
      <c r="R1858" s="202"/>
    </row>
    <row r="1859" spans="3:18" ht="16.5">
      <c r="C1859" s="202"/>
      <c r="D1859" s="202"/>
      <c r="E1859" s="199"/>
      <c r="F1859" s="202"/>
      <c r="G1859" s="202"/>
      <c r="H1859" s="202"/>
      <c r="I1859" s="202"/>
      <c r="O1859" s="202"/>
      <c r="R1859" s="202"/>
    </row>
    <row r="1860" spans="3:18" ht="16.5">
      <c r="C1860" s="202"/>
      <c r="D1860" s="202"/>
      <c r="E1860" s="199"/>
      <c r="F1860" s="202"/>
      <c r="G1860" s="202"/>
      <c r="H1860" s="202"/>
      <c r="I1860" s="202"/>
      <c r="O1860" s="202"/>
      <c r="R1860" s="202"/>
    </row>
    <row r="1861" spans="3:18" ht="16.5">
      <c r="C1861" s="202"/>
      <c r="D1861" s="202"/>
      <c r="E1861" s="199"/>
      <c r="F1861" s="202"/>
      <c r="G1861" s="202"/>
      <c r="H1861" s="202"/>
      <c r="I1861" s="202"/>
      <c r="O1861" s="202"/>
      <c r="R1861" s="202"/>
    </row>
    <row r="1862" spans="3:18" ht="16.5">
      <c r="C1862" s="202"/>
      <c r="D1862" s="202"/>
      <c r="E1862" s="199"/>
      <c r="F1862" s="202"/>
      <c r="G1862" s="202"/>
      <c r="H1862" s="202"/>
      <c r="I1862" s="202"/>
      <c r="O1862" s="202"/>
      <c r="R1862" s="202"/>
    </row>
    <row r="1863" spans="3:18" ht="16.5">
      <c r="C1863" s="202"/>
      <c r="D1863" s="202"/>
      <c r="E1863" s="199"/>
      <c r="F1863" s="202"/>
      <c r="G1863" s="202"/>
      <c r="H1863" s="202"/>
      <c r="I1863" s="202"/>
      <c r="O1863" s="202"/>
      <c r="R1863" s="202"/>
    </row>
    <row r="1864" spans="3:18" ht="16.5">
      <c r="C1864" s="202"/>
      <c r="D1864" s="202"/>
      <c r="E1864" s="199"/>
      <c r="F1864" s="202"/>
      <c r="G1864" s="202"/>
      <c r="H1864" s="202"/>
      <c r="I1864" s="202"/>
      <c r="O1864" s="202"/>
      <c r="R1864" s="202"/>
    </row>
    <row r="1865" spans="3:18" ht="16.5">
      <c r="C1865" s="202"/>
      <c r="D1865" s="202"/>
      <c r="E1865" s="199"/>
      <c r="F1865" s="202"/>
      <c r="G1865" s="202"/>
      <c r="H1865" s="202"/>
      <c r="I1865" s="202"/>
      <c r="O1865" s="202"/>
      <c r="R1865" s="202"/>
    </row>
    <row r="1866" spans="3:18" ht="16.5">
      <c r="C1866" s="202"/>
      <c r="D1866" s="202"/>
      <c r="E1866" s="199"/>
      <c r="F1866" s="202"/>
      <c r="G1866" s="202"/>
      <c r="H1866" s="202"/>
      <c r="I1866" s="202"/>
      <c r="O1866" s="202"/>
      <c r="R1866" s="202"/>
    </row>
    <row r="1867" spans="3:18" ht="16.5">
      <c r="C1867" s="202"/>
      <c r="D1867" s="202"/>
      <c r="E1867" s="199"/>
      <c r="F1867" s="202"/>
      <c r="G1867" s="202"/>
      <c r="H1867" s="202"/>
      <c r="I1867" s="202"/>
      <c r="O1867" s="202"/>
      <c r="R1867" s="202"/>
    </row>
    <row r="1868" spans="3:18" ht="16.5">
      <c r="C1868" s="202"/>
      <c r="D1868" s="202"/>
      <c r="E1868" s="199"/>
      <c r="F1868" s="202"/>
      <c r="G1868" s="202"/>
      <c r="H1868" s="202"/>
      <c r="I1868" s="202"/>
      <c r="O1868" s="202"/>
      <c r="R1868" s="202"/>
    </row>
    <row r="1869" spans="3:18" ht="16.5">
      <c r="C1869" s="202"/>
      <c r="D1869" s="202"/>
      <c r="E1869" s="199"/>
      <c r="F1869" s="202"/>
      <c r="G1869" s="202"/>
      <c r="H1869" s="202"/>
      <c r="I1869" s="202"/>
      <c r="O1869" s="202"/>
      <c r="R1869" s="202"/>
    </row>
    <row r="1870" spans="3:18" ht="16.5">
      <c r="C1870" s="202"/>
      <c r="D1870" s="202"/>
      <c r="E1870" s="199"/>
      <c r="F1870" s="202"/>
      <c r="G1870" s="202"/>
      <c r="H1870" s="202"/>
      <c r="I1870" s="202"/>
      <c r="O1870" s="202"/>
      <c r="R1870" s="202"/>
    </row>
    <row r="1871" spans="3:18" ht="16.5">
      <c r="C1871" s="202"/>
      <c r="D1871" s="202"/>
      <c r="E1871" s="199"/>
      <c r="F1871" s="202"/>
      <c r="G1871" s="202"/>
      <c r="H1871" s="202"/>
      <c r="I1871" s="202"/>
      <c r="O1871" s="202"/>
      <c r="R1871" s="202"/>
    </row>
    <row r="1872" spans="3:18" ht="16.5">
      <c r="C1872" s="202"/>
      <c r="D1872" s="202"/>
      <c r="E1872" s="199"/>
      <c r="F1872" s="202"/>
      <c r="G1872" s="202"/>
      <c r="H1872" s="202"/>
      <c r="I1872" s="202"/>
      <c r="O1872" s="202"/>
      <c r="R1872" s="202"/>
    </row>
    <row r="1873" spans="3:18" ht="16.5">
      <c r="C1873" s="202"/>
      <c r="D1873" s="202"/>
      <c r="E1873" s="199"/>
      <c r="F1873" s="202"/>
      <c r="G1873" s="202"/>
      <c r="H1873" s="202"/>
      <c r="I1873" s="202"/>
      <c r="O1873" s="202"/>
      <c r="R1873" s="202"/>
    </row>
    <row r="1874" spans="3:18" ht="16.5">
      <c r="C1874" s="202"/>
      <c r="D1874" s="202"/>
      <c r="E1874" s="199"/>
      <c r="F1874" s="202"/>
      <c r="G1874" s="202"/>
      <c r="H1874" s="202"/>
      <c r="I1874" s="202"/>
      <c r="O1874" s="202"/>
      <c r="R1874" s="202"/>
    </row>
    <row r="1875" spans="3:18" ht="16.5">
      <c r="C1875" s="202"/>
      <c r="D1875" s="202"/>
      <c r="E1875" s="199"/>
      <c r="F1875" s="202"/>
      <c r="G1875" s="202"/>
      <c r="H1875" s="202"/>
      <c r="I1875" s="202"/>
      <c r="O1875" s="202"/>
      <c r="R1875" s="202"/>
    </row>
    <row r="1876" spans="3:18" ht="16.5">
      <c r="C1876" s="202"/>
      <c r="D1876" s="202"/>
      <c r="E1876" s="199"/>
      <c r="F1876" s="202"/>
      <c r="G1876" s="202"/>
      <c r="H1876" s="202"/>
      <c r="I1876" s="202"/>
      <c r="O1876" s="202"/>
      <c r="R1876" s="202"/>
    </row>
    <row r="1877" spans="3:18" ht="16.5">
      <c r="C1877" s="202"/>
      <c r="D1877" s="202"/>
      <c r="E1877" s="199"/>
      <c r="F1877" s="202"/>
      <c r="G1877" s="202"/>
      <c r="H1877" s="202"/>
      <c r="I1877" s="202"/>
      <c r="O1877" s="202"/>
      <c r="R1877" s="202"/>
    </row>
    <row r="1878" spans="3:18" ht="16.5">
      <c r="C1878" s="202"/>
      <c r="D1878" s="202"/>
      <c r="E1878" s="199"/>
      <c r="F1878" s="202"/>
      <c r="G1878" s="202"/>
      <c r="H1878" s="202"/>
      <c r="I1878" s="202"/>
      <c r="O1878" s="202"/>
      <c r="R1878" s="202"/>
    </row>
    <row r="1879" spans="3:18" ht="16.5">
      <c r="C1879" s="202"/>
      <c r="D1879" s="202"/>
      <c r="E1879" s="199"/>
      <c r="F1879" s="202"/>
      <c r="G1879" s="202"/>
      <c r="H1879" s="202"/>
      <c r="I1879" s="202"/>
      <c r="O1879" s="202"/>
      <c r="R1879" s="202"/>
    </row>
    <row r="1880" spans="3:18" ht="16.5">
      <c r="C1880" s="202"/>
      <c r="D1880" s="202"/>
      <c r="E1880" s="199"/>
      <c r="F1880" s="202"/>
      <c r="G1880" s="202"/>
      <c r="H1880" s="202"/>
      <c r="I1880" s="202"/>
      <c r="O1880" s="202"/>
      <c r="R1880" s="202"/>
    </row>
    <row r="1881" spans="3:18" ht="16.5">
      <c r="C1881" s="202"/>
      <c r="D1881" s="202"/>
      <c r="E1881" s="199"/>
      <c r="F1881" s="202"/>
      <c r="G1881" s="202"/>
      <c r="H1881" s="202"/>
      <c r="I1881" s="202"/>
      <c r="O1881" s="202"/>
      <c r="R1881" s="202"/>
    </row>
    <row r="1882" spans="3:18" ht="16.5">
      <c r="C1882" s="202"/>
      <c r="D1882" s="202"/>
      <c r="E1882" s="199"/>
      <c r="F1882" s="202"/>
      <c r="G1882" s="202"/>
      <c r="H1882" s="202"/>
      <c r="I1882" s="202"/>
      <c r="O1882" s="202"/>
      <c r="R1882" s="202"/>
    </row>
    <row r="1883" spans="3:18" ht="16.5">
      <c r="C1883" s="202"/>
      <c r="D1883" s="202"/>
      <c r="E1883" s="199"/>
      <c r="F1883" s="202"/>
      <c r="G1883" s="202"/>
      <c r="H1883" s="202"/>
      <c r="I1883" s="202"/>
      <c r="O1883" s="202"/>
      <c r="R1883" s="202"/>
    </row>
    <row r="1884" spans="3:18" ht="16.5">
      <c r="C1884" s="202"/>
      <c r="D1884" s="202"/>
      <c r="E1884" s="199"/>
      <c r="F1884" s="202"/>
      <c r="G1884" s="202"/>
      <c r="H1884" s="202"/>
      <c r="I1884" s="202"/>
      <c r="O1884" s="202"/>
      <c r="R1884" s="202"/>
    </row>
    <row r="1885" spans="3:18" ht="16.5">
      <c r="C1885" s="202"/>
      <c r="D1885" s="202"/>
      <c r="E1885" s="199"/>
      <c r="F1885" s="202"/>
      <c r="G1885" s="202"/>
      <c r="H1885" s="202"/>
      <c r="I1885" s="202"/>
      <c r="O1885" s="202"/>
      <c r="R1885" s="202"/>
    </row>
    <row r="1886" spans="3:18" ht="16.5">
      <c r="C1886" s="202"/>
      <c r="D1886" s="202"/>
      <c r="E1886" s="199"/>
      <c r="F1886" s="202"/>
      <c r="G1886" s="202"/>
      <c r="H1886" s="202"/>
      <c r="I1886" s="202"/>
      <c r="O1886" s="202"/>
      <c r="R1886" s="202"/>
    </row>
    <row r="1887" spans="3:18" ht="16.5">
      <c r="C1887" s="202"/>
      <c r="D1887" s="202"/>
      <c r="E1887" s="199"/>
      <c r="F1887" s="202"/>
      <c r="G1887" s="202"/>
      <c r="H1887" s="202"/>
      <c r="I1887" s="202"/>
      <c r="O1887" s="202"/>
      <c r="R1887" s="202"/>
    </row>
    <row r="1888" spans="3:18" ht="16.5">
      <c r="C1888" s="202"/>
      <c r="D1888" s="202"/>
      <c r="E1888" s="199"/>
      <c r="F1888" s="202"/>
      <c r="G1888" s="202"/>
      <c r="H1888" s="202"/>
      <c r="I1888" s="202"/>
      <c r="O1888" s="202"/>
      <c r="R1888" s="202"/>
    </row>
    <row r="1889" spans="3:18" ht="16.5">
      <c r="C1889" s="202"/>
      <c r="D1889" s="202"/>
      <c r="E1889" s="199"/>
      <c r="F1889" s="202"/>
      <c r="G1889" s="202"/>
      <c r="H1889" s="202"/>
      <c r="I1889" s="202"/>
      <c r="O1889" s="202"/>
      <c r="R1889" s="202"/>
    </row>
    <row r="1890" spans="3:18" ht="16.5">
      <c r="C1890" s="202"/>
      <c r="D1890" s="202"/>
      <c r="E1890" s="199"/>
      <c r="F1890" s="202"/>
      <c r="G1890" s="202"/>
      <c r="H1890" s="202"/>
      <c r="I1890" s="202"/>
      <c r="O1890" s="202"/>
      <c r="R1890" s="202"/>
    </row>
    <row r="1891" spans="3:18" ht="16.5">
      <c r="C1891" s="202"/>
      <c r="D1891" s="202"/>
      <c r="E1891" s="199"/>
      <c r="F1891" s="202"/>
      <c r="G1891" s="202"/>
      <c r="H1891" s="202"/>
      <c r="I1891" s="202"/>
      <c r="O1891" s="202"/>
      <c r="R1891" s="202"/>
    </row>
    <row r="1892" spans="3:18" ht="16.5">
      <c r="C1892" s="202"/>
      <c r="D1892" s="202"/>
      <c r="E1892" s="199"/>
      <c r="F1892" s="202"/>
      <c r="G1892" s="202"/>
      <c r="H1892" s="202"/>
      <c r="I1892" s="202"/>
      <c r="O1892" s="202"/>
      <c r="R1892" s="202"/>
    </row>
    <row r="1893" spans="3:18" ht="16.5">
      <c r="C1893" s="202"/>
      <c r="D1893" s="202"/>
      <c r="E1893" s="199"/>
      <c r="F1893" s="202"/>
      <c r="G1893" s="202"/>
      <c r="H1893" s="202"/>
      <c r="I1893" s="202"/>
      <c r="O1893" s="202"/>
      <c r="R1893" s="202"/>
    </row>
    <row r="1894" spans="3:18" ht="16.5">
      <c r="C1894" s="202"/>
      <c r="D1894" s="202"/>
      <c r="E1894" s="199"/>
      <c r="F1894" s="202"/>
      <c r="G1894" s="202"/>
      <c r="H1894" s="202"/>
      <c r="I1894" s="202"/>
      <c r="O1894" s="202"/>
      <c r="R1894" s="202"/>
    </row>
    <row r="1895" spans="3:18" ht="16.5">
      <c r="C1895" s="202"/>
      <c r="D1895" s="202"/>
      <c r="E1895" s="199"/>
      <c r="F1895" s="202"/>
      <c r="G1895" s="202"/>
      <c r="H1895" s="202"/>
      <c r="I1895" s="202"/>
      <c r="O1895" s="202"/>
      <c r="R1895" s="202"/>
    </row>
    <row r="1896" spans="3:18" ht="16.5">
      <c r="C1896" s="202"/>
      <c r="D1896" s="202"/>
      <c r="E1896" s="199"/>
      <c r="F1896" s="202"/>
      <c r="G1896" s="202"/>
      <c r="H1896" s="202"/>
      <c r="I1896" s="202"/>
      <c r="O1896" s="202"/>
      <c r="R1896" s="202"/>
    </row>
    <row r="1897" spans="3:18" ht="16.5">
      <c r="C1897" s="202"/>
      <c r="D1897" s="202"/>
      <c r="E1897" s="199"/>
      <c r="F1897" s="202"/>
      <c r="G1897" s="202"/>
      <c r="H1897" s="202"/>
      <c r="I1897" s="202"/>
      <c r="O1897" s="202"/>
      <c r="R1897" s="202"/>
    </row>
    <row r="1898" spans="3:18" ht="16.5">
      <c r="C1898" s="202"/>
      <c r="D1898" s="202"/>
      <c r="E1898" s="199"/>
      <c r="F1898" s="202"/>
      <c r="G1898" s="202"/>
      <c r="H1898" s="202"/>
      <c r="I1898" s="202"/>
      <c r="O1898" s="202"/>
      <c r="R1898" s="202"/>
    </row>
    <row r="1899" spans="3:18" ht="16.5">
      <c r="C1899" s="202"/>
      <c r="D1899" s="202"/>
      <c r="E1899" s="199"/>
      <c r="F1899" s="202"/>
      <c r="G1899" s="202"/>
      <c r="H1899" s="202"/>
      <c r="I1899" s="202"/>
      <c r="O1899" s="202"/>
      <c r="R1899" s="202"/>
    </row>
    <row r="1900" spans="3:18" ht="16.5">
      <c r="C1900" s="202"/>
      <c r="D1900" s="202"/>
      <c r="E1900" s="199"/>
      <c r="F1900" s="202"/>
      <c r="G1900" s="202"/>
      <c r="H1900" s="202"/>
      <c r="I1900" s="202"/>
      <c r="O1900" s="202"/>
      <c r="R1900" s="202"/>
    </row>
    <row r="1901" spans="3:18" ht="16.5">
      <c r="C1901" s="202"/>
      <c r="D1901" s="202"/>
      <c r="E1901" s="199"/>
      <c r="F1901" s="202"/>
      <c r="G1901" s="202"/>
      <c r="H1901" s="202"/>
      <c r="I1901" s="202"/>
      <c r="O1901" s="202"/>
      <c r="R1901" s="202"/>
    </row>
    <row r="1902" spans="3:18" ht="16.5">
      <c r="C1902" s="202"/>
      <c r="D1902" s="202"/>
      <c r="E1902" s="199"/>
      <c r="F1902" s="202"/>
      <c r="G1902" s="202"/>
      <c r="H1902" s="202"/>
      <c r="I1902" s="202"/>
      <c r="O1902" s="202"/>
      <c r="R1902" s="202"/>
    </row>
    <row r="1903" spans="3:18" ht="16.5">
      <c r="C1903" s="202"/>
      <c r="D1903" s="202"/>
      <c r="E1903" s="199"/>
      <c r="F1903" s="202"/>
      <c r="G1903" s="202"/>
      <c r="H1903" s="202"/>
      <c r="I1903" s="202"/>
      <c r="O1903" s="202"/>
      <c r="R1903" s="202"/>
    </row>
    <row r="1904" spans="3:18" ht="16.5">
      <c r="C1904" s="202"/>
      <c r="D1904" s="202"/>
      <c r="E1904" s="199"/>
      <c r="F1904" s="202"/>
      <c r="G1904" s="202"/>
      <c r="H1904" s="202"/>
      <c r="I1904" s="202"/>
      <c r="O1904" s="202"/>
      <c r="R1904" s="202"/>
    </row>
    <row r="1905" spans="3:18" ht="16.5">
      <c r="C1905" s="202"/>
      <c r="D1905" s="202"/>
      <c r="E1905" s="199"/>
      <c r="F1905" s="202"/>
      <c r="G1905" s="202"/>
      <c r="H1905" s="202"/>
      <c r="I1905" s="202"/>
      <c r="O1905" s="202"/>
      <c r="R1905" s="202"/>
    </row>
    <row r="1906" spans="3:18" ht="16.5">
      <c r="C1906" s="202"/>
      <c r="D1906" s="202"/>
      <c r="E1906" s="199"/>
      <c r="F1906" s="202"/>
      <c r="G1906" s="202"/>
      <c r="H1906" s="202"/>
      <c r="I1906" s="202"/>
      <c r="O1906" s="202"/>
      <c r="R1906" s="202"/>
    </row>
    <row r="1907" spans="3:18" ht="16.5">
      <c r="C1907" s="202"/>
      <c r="D1907" s="202"/>
      <c r="E1907" s="199"/>
      <c r="F1907" s="202"/>
      <c r="G1907" s="202"/>
      <c r="H1907" s="202"/>
      <c r="I1907" s="202"/>
      <c r="O1907" s="202"/>
      <c r="R1907" s="202"/>
    </row>
    <row r="1908" spans="3:18" ht="16.5">
      <c r="C1908" s="202"/>
      <c r="D1908" s="202"/>
      <c r="E1908" s="199"/>
      <c r="F1908" s="202"/>
      <c r="G1908" s="202"/>
      <c r="H1908" s="202"/>
      <c r="I1908" s="202"/>
      <c r="O1908" s="202"/>
      <c r="R1908" s="202"/>
    </row>
    <row r="1909" spans="3:18" ht="16.5">
      <c r="C1909" s="202"/>
      <c r="D1909" s="202"/>
      <c r="E1909" s="199"/>
      <c r="F1909" s="202"/>
      <c r="G1909" s="202"/>
      <c r="H1909" s="202"/>
      <c r="I1909" s="202"/>
      <c r="O1909" s="202"/>
      <c r="R1909" s="202"/>
    </row>
    <row r="1910" spans="3:18" ht="16.5">
      <c r="C1910" s="202"/>
      <c r="D1910" s="202"/>
      <c r="E1910" s="199"/>
      <c r="F1910" s="202"/>
      <c r="G1910" s="202"/>
      <c r="H1910" s="202"/>
      <c r="I1910" s="202"/>
      <c r="O1910" s="202"/>
      <c r="R1910" s="202"/>
    </row>
    <row r="1911" spans="3:18" ht="16.5">
      <c r="C1911" s="202"/>
      <c r="D1911" s="202"/>
      <c r="E1911" s="199"/>
      <c r="F1911" s="202"/>
      <c r="G1911" s="202"/>
      <c r="H1911" s="202"/>
      <c r="I1911" s="202"/>
      <c r="O1911" s="202"/>
      <c r="R1911" s="202"/>
    </row>
    <row r="1912" spans="3:18" ht="16.5">
      <c r="C1912" s="202"/>
      <c r="D1912" s="202"/>
      <c r="E1912" s="199"/>
      <c r="F1912" s="202"/>
      <c r="G1912" s="202"/>
      <c r="H1912" s="202"/>
      <c r="I1912" s="202"/>
      <c r="O1912" s="202"/>
      <c r="R1912" s="202"/>
    </row>
    <row r="1913" spans="3:18" ht="16.5">
      <c r="C1913" s="202"/>
      <c r="D1913" s="202"/>
      <c r="E1913" s="199"/>
      <c r="F1913" s="202"/>
      <c r="G1913" s="202"/>
      <c r="H1913" s="202"/>
      <c r="I1913" s="202"/>
      <c r="O1913" s="202"/>
      <c r="R1913" s="202"/>
    </row>
    <row r="1914" spans="3:18" ht="16.5">
      <c r="C1914" s="202"/>
      <c r="D1914" s="202"/>
      <c r="E1914" s="199"/>
      <c r="F1914" s="202"/>
      <c r="G1914" s="202"/>
      <c r="H1914" s="202"/>
      <c r="I1914" s="202"/>
      <c r="O1914" s="202"/>
      <c r="R1914" s="202"/>
    </row>
    <row r="1915" spans="3:18" ht="16.5">
      <c r="C1915" s="202"/>
      <c r="D1915" s="202"/>
      <c r="E1915" s="199"/>
      <c r="F1915" s="202"/>
      <c r="G1915" s="202"/>
      <c r="H1915" s="202"/>
      <c r="I1915" s="202"/>
      <c r="O1915" s="202"/>
      <c r="R1915" s="202"/>
    </row>
    <row r="1916" spans="3:18" ht="16.5">
      <c r="C1916" s="202"/>
      <c r="D1916" s="202"/>
      <c r="E1916" s="199"/>
      <c r="F1916" s="202"/>
      <c r="G1916" s="202"/>
      <c r="H1916" s="202"/>
      <c r="I1916" s="202"/>
      <c r="O1916" s="202"/>
      <c r="R1916" s="202"/>
    </row>
    <row r="1917" spans="3:18" ht="16.5">
      <c r="C1917" s="202"/>
      <c r="D1917" s="202"/>
      <c r="E1917" s="199"/>
      <c r="F1917" s="202"/>
      <c r="G1917" s="202"/>
      <c r="H1917" s="202"/>
      <c r="I1917" s="202"/>
      <c r="O1917" s="202"/>
      <c r="R1917" s="202"/>
    </row>
    <row r="1918" spans="3:18" ht="16.5">
      <c r="C1918" s="202"/>
      <c r="D1918" s="202"/>
      <c r="E1918" s="199"/>
      <c r="F1918" s="202"/>
      <c r="G1918" s="202"/>
      <c r="H1918" s="202"/>
      <c r="I1918" s="202"/>
      <c r="O1918" s="202"/>
      <c r="R1918" s="202"/>
    </row>
    <row r="1919" spans="3:18" ht="16.5">
      <c r="C1919" s="202"/>
      <c r="D1919" s="202"/>
      <c r="E1919" s="199"/>
      <c r="F1919" s="202"/>
      <c r="G1919" s="202"/>
      <c r="H1919" s="202"/>
      <c r="I1919" s="202"/>
      <c r="O1919" s="202"/>
      <c r="R1919" s="202"/>
    </row>
    <row r="1920" spans="3:18" ht="16.5">
      <c r="C1920" s="202"/>
      <c r="D1920" s="202"/>
      <c r="E1920" s="199"/>
      <c r="F1920" s="202"/>
      <c r="G1920" s="202"/>
      <c r="H1920" s="202"/>
      <c r="I1920" s="202"/>
      <c r="O1920" s="202"/>
      <c r="R1920" s="202"/>
    </row>
    <row r="1921" spans="3:18" ht="16.5">
      <c r="C1921" s="202"/>
      <c r="D1921" s="202"/>
      <c r="E1921" s="199"/>
      <c r="F1921" s="202"/>
      <c r="G1921" s="202"/>
      <c r="H1921" s="202"/>
      <c r="I1921" s="202"/>
      <c r="O1921" s="202"/>
      <c r="R1921" s="202"/>
    </row>
    <row r="1922" spans="3:18" ht="16.5">
      <c r="C1922" s="202"/>
      <c r="D1922" s="202"/>
      <c r="E1922" s="199"/>
      <c r="F1922" s="202"/>
      <c r="G1922" s="202"/>
      <c r="H1922" s="202"/>
      <c r="I1922" s="202"/>
      <c r="O1922" s="202"/>
      <c r="R1922" s="202"/>
    </row>
    <row r="1923" spans="3:18" ht="16.5">
      <c r="C1923" s="202"/>
      <c r="D1923" s="202"/>
      <c r="E1923" s="199"/>
      <c r="F1923" s="202"/>
      <c r="G1923" s="202"/>
      <c r="H1923" s="202"/>
      <c r="I1923" s="202"/>
      <c r="O1923" s="202"/>
      <c r="R1923" s="202"/>
    </row>
    <row r="1924" spans="3:18" ht="16.5">
      <c r="C1924" s="202"/>
      <c r="D1924" s="202"/>
      <c r="E1924" s="199"/>
      <c r="F1924" s="202"/>
      <c r="G1924" s="202"/>
      <c r="H1924" s="202"/>
      <c r="I1924" s="202"/>
      <c r="O1924" s="202"/>
      <c r="R1924" s="202"/>
    </row>
    <row r="1925" spans="3:18" ht="16.5">
      <c r="C1925" s="202"/>
      <c r="D1925" s="202"/>
      <c r="E1925" s="199"/>
      <c r="F1925" s="202"/>
      <c r="G1925" s="202"/>
      <c r="H1925" s="202"/>
      <c r="I1925" s="202"/>
      <c r="O1925" s="202"/>
      <c r="R1925" s="202"/>
    </row>
    <row r="1926" spans="3:18" ht="16.5">
      <c r="C1926" s="202"/>
      <c r="D1926" s="202"/>
      <c r="E1926" s="199"/>
      <c r="F1926" s="202"/>
      <c r="G1926" s="202"/>
      <c r="H1926" s="202"/>
      <c r="I1926" s="202"/>
      <c r="O1926" s="202"/>
      <c r="R1926" s="202"/>
    </row>
    <row r="1927" spans="3:18" ht="16.5">
      <c r="C1927" s="202"/>
      <c r="D1927" s="202"/>
      <c r="E1927" s="199"/>
      <c r="F1927" s="202"/>
      <c r="G1927" s="202"/>
      <c r="H1927" s="202"/>
      <c r="I1927" s="202"/>
      <c r="O1927" s="202"/>
      <c r="R1927" s="202"/>
    </row>
    <row r="1928" spans="3:18" ht="16.5">
      <c r="C1928" s="202"/>
      <c r="D1928" s="202"/>
      <c r="E1928" s="199"/>
      <c r="F1928" s="202"/>
      <c r="G1928" s="202"/>
      <c r="H1928" s="202"/>
      <c r="I1928" s="202"/>
      <c r="O1928" s="202"/>
      <c r="R1928" s="202"/>
    </row>
    <row r="1929" spans="3:18" ht="16.5">
      <c r="C1929" s="202"/>
      <c r="D1929" s="202"/>
      <c r="E1929" s="199"/>
      <c r="F1929" s="202"/>
      <c r="G1929" s="202"/>
      <c r="H1929" s="202"/>
      <c r="I1929" s="202"/>
      <c r="O1929" s="202"/>
      <c r="R1929" s="202"/>
    </row>
    <row r="1930" spans="3:18" ht="16.5">
      <c r="C1930" s="202"/>
      <c r="D1930" s="202"/>
      <c r="E1930" s="199"/>
      <c r="F1930" s="202"/>
      <c r="G1930" s="202"/>
      <c r="H1930" s="202"/>
      <c r="I1930" s="202"/>
      <c r="O1930" s="202"/>
      <c r="R1930" s="202"/>
    </row>
    <row r="1931" spans="3:18" ht="16.5">
      <c r="C1931" s="202"/>
      <c r="D1931" s="202"/>
      <c r="E1931" s="199"/>
      <c r="F1931" s="202"/>
      <c r="G1931" s="202"/>
      <c r="H1931" s="202"/>
      <c r="I1931" s="202"/>
      <c r="O1931" s="202"/>
      <c r="R1931" s="202"/>
    </row>
    <row r="1932" spans="3:18" ht="16.5">
      <c r="C1932" s="202"/>
      <c r="D1932" s="202"/>
      <c r="E1932" s="199"/>
      <c r="F1932" s="202"/>
      <c r="G1932" s="202"/>
      <c r="H1932" s="202"/>
      <c r="I1932" s="202"/>
      <c r="O1932" s="202"/>
      <c r="R1932" s="202"/>
    </row>
    <row r="1933" spans="3:18" ht="16.5">
      <c r="C1933" s="202"/>
      <c r="D1933" s="202"/>
      <c r="E1933" s="199"/>
      <c r="F1933" s="202"/>
      <c r="G1933" s="202"/>
      <c r="H1933" s="202"/>
      <c r="I1933" s="202"/>
      <c r="O1933" s="202"/>
      <c r="R1933" s="202"/>
    </row>
    <row r="1934" spans="3:18" ht="16.5">
      <c r="C1934" s="202"/>
      <c r="D1934" s="202"/>
      <c r="E1934" s="199"/>
      <c r="F1934" s="202"/>
      <c r="G1934" s="202"/>
      <c r="H1934" s="202"/>
      <c r="I1934" s="202"/>
      <c r="O1934" s="202"/>
      <c r="R1934" s="202"/>
    </row>
    <row r="1935" spans="3:18" ht="16.5">
      <c r="C1935" s="202"/>
      <c r="D1935" s="202"/>
      <c r="E1935" s="199"/>
      <c r="F1935" s="202"/>
      <c r="G1935" s="202"/>
      <c r="H1935" s="202"/>
      <c r="I1935" s="202"/>
      <c r="O1935" s="202"/>
      <c r="R1935" s="202"/>
    </row>
    <row r="1936" spans="3:18" ht="16.5">
      <c r="C1936" s="202"/>
      <c r="D1936" s="202"/>
      <c r="E1936" s="199"/>
      <c r="F1936" s="202"/>
      <c r="G1936" s="202"/>
      <c r="H1936" s="202"/>
      <c r="I1936" s="202"/>
      <c r="O1936" s="202"/>
      <c r="R1936" s="202"/>
    </row>
    <row r="1937" spans="3:18" ht="16.5">
      <c r="C1937" s="202"/>
      <c r="D1937" s="202"/>
      <c r="E1937" s="199"/>
      <c r="F1937" s="202"/>
      <c r="G1937" s="202"/>
      <c r="H1937" s="202"/>
      <c r="I1937" s="202"/>
      <c r="O1937" s="202"/>
      <c r="R1937" s="202"/>
    </row>
    <row r="1938" spans="3:18" ht="16.5">
      <c r="C1938" s="202"/>
      <c r="D1938" s="202"/>
      <c r="E1938" s="199"/>
      <c r="F1938" s="202"/>
      <c r="G1938" s="202"/>
      <c r="H1938" s="202"/>
      <c r="I1938" s="202"/>
      <c r="O1938" s="202"/>
      <c r="R1938" s="202"/>
    </row>
    <row r="1939" spans="3:18" ht="16.5">
      <c r="C1939" s="202"/>
      <c r="D1939" s="202"/>
      <c r="E1939" s="199"/>
      <c r="F1939" s="202"/>
      <c r="G1939" s="202"/>
      <c r="H1939" s="202"/>
      <c r="I1939" s="202"/>
      <c r="O1939" s="202"/>
      <c r="R1939" s="202"/>
    </row>
    <row r="1940" spans="3:18" ht="16.5">
      <c r="C1940" s="202"/>
      <c r="D1940" s="202"/>
      <c r="E1940" s="199"/>
      <c r="F1940" s="202"/>
      <c r="G1940" s="202"/>
      <c r="H1940" s="202"/>
      <c r="I1940" s="202"/>
      <c r="O1940" s="202"/>
      <c r="R1940" s="202"/>
    </row>
    <row r="1941" spans="3:18" ht="16.5">
      <c r="C1941" s="202"/>
      <c r="D1941" s="202"/>
      <c r="E1941" s="199"/>
      <c r="F1941" s="202"/>
      <c r="G1941" s="202"/>
      <c r="H1941" s="202"/>
      <c r="I1941" s="202"/>
      <c r="O1941" s="202"/>
      <c r="R1941" s="202"/>
    </row>
    <row r="1942" spans="3:18" ht="16.5">
      <c r="C1942" s="202"/>
      <c r="D1942" s="202"/>
      <c r="E1942" s="199"/>
      <c r="F1942" s="202"/>
      <c r="G1942" s="202"/>
      <c r="H1942" s="202"/>
      <c r="I1942" s="202"/>
      <c r="O1942" s="202"/>
      <c r="R1942" s="202"/>
    </row>
    <row r="1943" spans="3:18" ht="16.5">
      <c r="C1943" s="202"/>
      <c r="D1943" s="202"/>
      <c r="E1943" s="199"/>
      <c r="F1943" s="202"/>
      <c r="G1943" s="202"/>
      <c r="H1943" s="202"/>
      <c r="I1943" s="202"/>
      <c r="O1943" s="202"/>
      <c r="R1943" s="202"/>
    </row>
    <row r="1944" spans="3:18" ht="16.5">
      <c r="C1944" s="202"/>
      <c r="D1944" s="202"/>
      <c r="E1944" s="199"/>
      <c r="F1944" s="202"/>
      <c r="G1944" s="202"/>
      <c r="H1944" s="202"/>
      <c r="I1944" s="202"/>
      <c r="O1944" s="202"/>
      <c r="R1944" s="202"/>
    </row>
    <row r="1945" spans="3:18" ht="16.5">
      <c r="C1945" s="202"/>
      <c r="D1945" s="202"/>
      <c r="E1945" s="199"/>
      <c r="F1945" s="202"/>
      <c r="G1945" s="202"/>
      <c r="H1945" s="202"/>
      <c r="I1945" s="202"/>
      <c r="O1945" s="202"/>
      <c r="R1945" s="202"/>
    </row>
    <row r="1946" spans="3:18" ht="16.5">
      <c r="C1946" s="202"/>
      <c r="D1946" s="202"/>
      <c r="E1946" s="199"/>
      <c r="F1946" s="202"/>
      <c r="G1946" s="202"/>
      <c r="H1946" s="202"/>
      <c r="I1946" s="202"/>
      <c r="O1946" s="202"/>
      <c r="R1946" s="202"/>
    </row>
    <row r="1947" spans="3:18" ht="16.5">
      <c r="C1947" s="202"/>
      <c r="D1947" s="202"/>
      <c r="E1947" s="199"/>
      <c r="F1947" s="202"/>
      <c r="G1947" s="202"/>
      <c r="H1947" s="202"/>
      <c r="I1947" s="202"/>
      <c r="O1947" s="202"/>
      <c r="R1947" s="202"/>
    </row>
    <row r="1948" spans="3:18" ht="16.5">
      <c r="C1948" s="202"/>
      <c r="D1948" s="202"/>
      <c r="E1948" s="199"/>
      <c r="F1948" s="202"/>
      <c r="G1948" s="202"/>
      <c r="H1948" s="202"/>
      <c r="I1948" s="202"/>
      <c r="O1948" s="202"/>
      <c r="R1948" s="202"/>
    </row>
    <row r="1949" spans="3:18" ht="16.5">
      <c r="C1949" s="202"/>
      <c r="D1949" s="202"/>
      <c r="E1949" s="199"/>
      <c r="F1949" s="202"/>
      <c r="G1949" s="202"/>
      <c r="H1949" s="202"/>
      <c r="I1949" s="202"/>
      <c r="O1949" s="202"/>
      <c r="R1949" s="202"/>
    </row>
    <row r="1950" spans="3:18" ht="16.5">
      <c r="C1950" s="202"/>
      <c r="D1950" s="202"/>
      <c r="E1950" s="199"/>
      <c r="F1950" s="202"/>
      <c r="G1950" s="202"/>
      <c r="H1950" s="202"/>
      <c r="I1950" s="202"/>
      <c r="O1950" s="202"/>
      <c r="R1950" s="202"/>
    </row>
    <row r="1951" spans="3:18" ht="16.5">
      <c r="C1951" s="202"/>
      <c r="D1951" s="202"/>
      <c r="E1951" s="199"/>
      <c r="F1951" s="202"/>
      <c r="G1951" s="202"/>
      <c r="H1951" s="202"/>
      <c r="I1951" s="202"/>
      <c r="O1951" s="202"/>
      <c r="R1951" s="202"/>
    </row>
    <row r="1952" spans="3:18" ht="16.5">
      <c r="C1952" s="202"/>
      <c r="D1952" s="202"/>
      <c r="E1952" s="199"/>
      <c r="F1952" s="202"/>
      <c r="G1952" s="202"/>
      <c r="H1952" s="202"/>
      <c r="I1952" s="202"/>
      <c r="O1952" s="202"/>
      <c r="R1952" s="202"/>
    </row>
    <row r="1953" spans="3:18" ht="16.5">
      <c r="C1953" s="202"/>
      <c r="D1953" s="202"/>
      <c r="E1953" s="199"/>
      <c r="F1953" s="202"/>
      <c r="G1953" s="202"/>
      <c r="H1953" s="202"/>
      <c r="I1953" s="202"/>
      <c r="O1953" s="202"/>
      <c r="R1953" s="202"/>
    </row>
    <row r="1954" spans="3:18" ht="16.5">
      <c r="C1954" s="202"/>
      <c r="D1954" s="202"/>
      <c r="E1954" s="199"/>
      <c r="F1954" s="202"/>
      <c r="G1954" s="202"/>
      <c r="H1954" s="202"/>
      <c r="I1954" s="202"/>
      <c r="O1954" s="202"/>
      <c r="R1954" s="202"/>
    </row>
    <row r="1955" spans="3:18" ht="16.5">
      <c r="C1955" s="202"/>
      <c r="D1955" s="202"/>
      <c r="E1955" s="199"/>
      <c r="F1955" s="202"/>
      <c r="G1955" s="202"/>
      <c r="H1955" s="202"/>
      <c r="I1955" s="202"/>
      <c r="O1955" s="202"/>
      <c r="R1955" s="202"/>
    </row>
    <row r="1956" spans="3:18" ht="16.5">
      <c r="C1956" s="202"/>
      <c r="D1956" s="202"/>
      <c r="E1956" s="199"/>
      <c r="F1956" s="202"/>
      <c r="G1956" s="202"/>
      <c r="H1956" s="202"/>
      <c r="I1956" s="202"/>
      <c r="O1956" s="202"/>
      <c r="R1956" s="202"/>
    </row>
    <row r="1957" spans="3:18" ht="16.5">
      <c r="C1957" s="202"/>
      <c r="D1957" s="202"/>
      <c r="E1957" s="199"/>
      <c r="F1957" s="202"/>
      <c r="G1957" s="202"/>
      <c r="H1957" s="202"/>
      <c r="I1957" s="202"/>
      <c r="O1957" s="202"/>
      <c r="R1957" s="202"/>
    </row>
    <row r="1958" spans="3:18" ht="16.5">
      <c r="C1958" s="202"/>
      <c r="D1958" s="202"/>
      <c r="E1958" s="199"/>
      <c r="F1958" s="202"/>
      <c r="G1958" s="202"/>
      <c r="H1958" s="202"/>
      <c r="I1958" s="202"/>
      <c r="O1958" s="202"/>
      <c r="R1958" s="202"/>
    </row>
    <row r="1959" spans="3:18" ht="16.5">
      <c r="C1959" s="202"/>
      <c r="D1959" s="202"/>
      <c r="E1959" s="199"/>
      <c r="F1959" s="202"/>
      <c r="G1959" s="202"/>
      <c r="H1959" s="202"/>
      <c r="I1959" s="202"/>
      <c r="O1959" s="202"/>
      <c r="R1959" s="202"/>
    </row>
    <row r="1960" spans="3:18" ht="16.5">
      <c r="C1960" s="202"/>
      <c r="D1960" s="202"/>
      <c r="E1960" s="199"/>
      <c r="F1960" s="202"/>
      <c r="G1960" s="202"/>
      <c r="H1960" s="202"/>
      <c r="I1960" s="202"/>
      <c r="O1960" s="202"/>
      <c r="R1960" s="202"/>
    </row>
    <row r="1961" spans="3:18" ht="16.5">
      <c r="C1961" s="202"/>
      <c r="D1961" s="202"/>
      <c r="E1961" s="199"/>
      <c r="F1961" s="202"/>
      <c r="G1961" s="202"/>
      <c r="H1961" s="202"/>
      <c r="I1961" s="202"/>
      <c r="O1961" s="202"/>
      <c r="R1961" s="202"/>
    </row>
    <row r="1962" spans="3:18" ht="16.5">
      <c r="C1962" s="202"/>
      <c r="D1962" s="202"/>
      <c r="E1962" s="199"/>
      <c r="F1962" s="202"/>
      <c r="G1962" s="202"/>
      <c r="H1962" s="202"/>
      <c r="I1962" s="202"/>
      <c r="O1962" s="202"/>
      <c r="R1962" s="202"/>
    </row>
    <row r="1963" spans="3:18" ht="16.5">
      <c r="C1963" s="202"/>
      <c r="D1963" s="202"/>
      <c r="E1963" s="199"/>
      <c r="F1963" s="202"/>
      <c r="G1963" s="202"/>
      <c r="H1963" s="202"/>
      <c r="I1963" s="202"/>
      <c r="O1963" s="202"/>
      <c r="R1963" s="202"/>
    </row>
    <row r="1964" spans="3:18" ht="16.5">
      <c r="C1964" s="202"/>
      <c r="D1964" s="202"/>
      <c r="E1964" s="199"/>
      <c r="F1964" s="202"/>
      <c r="G1964" s="202"/>
      <c r="H1964" s="202"/>
      <c r="I1964" s="202"/>
      <c r="O1964" s="202"/>
      <c r="R1964" s="202"/>
    </row>
    <row r="1965" spans="3:18" ht="16.5">
      <c r="C1965" s="202"/>
      <c r="D1965" s="202"/>
      <c r="E1965" s="199"/>
      <c r="F1965" s="202"/>
      <c r="G1965" s="202"/>
      <c r="H1965" s="202"/>
      <c r="I1965" s="202"/>
      <c r="O1965" s="202"/>
      <c r="R1965" s="202"/>
    </row>
    <row r="1966" spans="3:18" ht="16.5">
      <c r="C1966" s="202"/>
      <c r="D1966" s="202"/>
      <c r="E1966" s="199"/>
      <c r="F1966" s="202"/>
      <c r="G1966" s="202"/>
      <c r="H1966" s="202"/>
      <c r="I1966" s="202"/>
      <c r="O1966" s="202"/>
      <c r="R1966" s="202"/>
    </row>
    <row r="1967" spans="3:18" ht="16.5">
      <c r="C1967" s="202"/>
      <c r="D1967" s="202"/>
      <c r="E1967" s="199"/>
      <c r="F1967" s="202"/>
      <c r="G1967" s="202"/>
      <c r="H1967" s="202"/>
      <c r="I1967" s="202"/>
      <c r="O1967" s="202"/>
      <c r="R1967" s="202"/>
    </row>
    <row r="1968" spans="3:18" ht="16.5">
      <c r="C1968" s="202"/>
      <c r="D1968" s="202"/>
      <c r="E1968" s="199"/>
      <c r="F1968" s="202"/>
      <c r="G1968" s="202"/>
      <c r="H1968" s="202"/>
      <c r="I1968" s="202"/>
      <c r="O1968" s="202"/>
      <c r="R1968" s="202"/>
    </row>
    <row r="1969" spans="3:18" ht="16.5">
      <c r="C1969" s="202"/>
      <c r="D1969" s="202"/>
      <c r="E1969" s="199"/>
      <c r="F1969" s="202"/>
      <c r="G1969" s="202"/>
      <c r="H1969" s="202"/>
      <c r="I1969" s="202"/>
      <c r="O1969" s="202"/>
      <c r="R1969" s="202"/>
    </row>
    <row r="1970" spans="3:18" ht="16.5">
      <c r="C1970" s="202"/>
      <c r="D1970" s="202"/>
      <c r="E1970" s="199"/>
      <c r="F1970" s="202"/>
      <c r="G1970" s="202"/>
      <c r="H1970" s="202"/>
      <c r="I1970" s="202"/>
      <c r="O1970" s="202"/>
      <c r="R1970" s="202"/>
    </row>
    <row r="1971" spans="3:18" ht="16.5">
      <c r="C1971" s="202"/>
      <c r="D1971" s="202"/>
      <c r="E1971" s="199"/>
      <c r="F1971" s="202"/>
      <c r="G1971" s="202"/>
      <c r="H1971" s="202"/>
      <c r="I1971" s="202"/>
      <c r="O1971" s="202"/>
      <c r="R1971" s="202"/>
    </row>
    <row r="1972" spans="3:18" ht="16.5">
      <c r="C1972" s="202"/>
      <c r="D1972" s="202"/>
      <c r="E1972" s="199"/>
      <c r="F1972" s="202"/>
      <c r="G1972" s="202"/>
      <c r="H1972" s="202"/>
      <c r="I1972" s="202"/>
      <c r="O1972" s="202"/>
      <c r="R1972" s="202"/>
    </row>
    <row r="1973" spans="3:18" ht="16.5">
      <c r="C1973" s="202"/>
      <c r="D1973" s="202"/>
      <c r="E1973" s="199"/>
      <c r="F1973" s="202"/>
      <c r="G1973" s="202"/>
      <c r="H1973" s="202"/>
      <c r="I1973" s="202"/>
      <c r="O1973" s="202"/>
      <c r="R1973" s="202"/>
    </row>
    <row r="1974" spans="3:18" ht="16.5">
      <c r="C1974" s="202"/>
      <c r="D1974" s="202"/>
      <c r="E1974" s="199"/>
      <c r="F1974" s="202"/>
      <c r="G1974" s="202"/>
      <c r="H1974" s="202"/>
      <c r="I1974" s="202"/>
      <c r="O1974" s="202"/>
      <c r="R1974" s="202"/>
    </row>
    <row r="1975" spans="3:18" ht="16.5">
      <c r="C1975" s="202"/>
      <c r="D1975" s="202"/>
      <c r="E1975" s="199"/>
      <c r="F1975" s="202"/>
      <c r="G1975" s="202"/>
      <c r="H1975" s="202"/>
      <c r="I1975" s="202"/>
      <c r="O1975" s="202"/>
      <c r="R1975" s="202"/>
    </row>
    <row r="1976" spans="3:18" ht="16.5">
      <c r="C1976" s="202"/>
      <c r="D1976" s="202"/>
      <c r="E1976" s="199"/>
      <c r="F1976" s="202"/>
      <c r="G1976" s="202"/>
      <c r="H1976" s="202"/>
      <c r="I1976" s="202"/>
      <c r="O1976" s="202"/>
      <c r="R1976" s="202"/>
    </row>
    <row r="1977" spans="3:18" ht="16.5">
      <c r="C1977" s="202"/>
      <c r="D1977" s="202"/>
      <c r="E1977" s="199"/>
      <c r="F1977" s="202"/>
      <c r="G1977" s="202"/>
      <c r="H1977" s="202"/>
      <c r="I1977" s="202"/>
      <c r="O1977" s="202"/>
      <c r="R1977" s="202"/>
    </row>
    <row r="1978" spans="3:18" ht="16.5">
      <c r="C1978" s="202"/>
      <c r="D1978" s="202"/>
      <c r="E1978" s="199"/>
      <c r="F1978" s="202"/>
      <c r="G1978" s="202"/>
      <c r="H1978" s="202"/>
      <c r="I1978" s="202"/>
      <c r="O1978" s="202"/>
      <c r="R1978" s="202"/>
    </row>
    <row r="1979" spans="3:18" ht="16.5">
      <c r="C1979" s="202"/>
      <c r="D1979" s="202"/>
      <c r="E1979" s="199"/>
      <c r="F1979" s="202"/>
      <c r="G1979" s="202"/>
      <c r="H1979" s="202"/>
      <c r="I1979" s="202"/>
      <c r="O1979" s="202"/>
      <c r="R1979" s="202"/>
    </row>
    <row r="1980" spans="3:18" ht="16.5">
      <c r="C1980" s="202"/>
      <c r="D1980" s="202"/>
      <c r="E1980" s="199"/>
      <c r="F1980" s="202"/>
      <c r="G1980" s="202"/>
      <c r="H1980" s="202"/>
      <c r="I1980" s="202"/>
      <c r="O1980" s="202"/>
      <c r="R1980" s="202"/>
    </row>
    <row r="1981" spans="3:18" ht="16.5">
      <c r="C1981" s="202"/>
      <c r="D1981" s="202"/>
      <c r="E1981" s="199"/>
      <c r="F1981" s="202"/>
      <c r="G1981" s="202"/>
      <c r="H1981" s="202"/>
      <c r="I1981" s="202"/>
      <c r="O1981" s="202"/>
      <c r="R1981" s="202"/>
    </row>
    <row r="1982" spans="3:18" ht="16.5">
      <c r="C1982" s="202"/>
      <c r="D1982" s="202"/>
      <c r="E1982" s="199"/>
      <c r="F1982" s="202"/>
      <c r="G1982" s="202"/>
      <c r="H1982" s="202"/>
      <c r="I1982" s="202"/>
      <c r="O1982" s="202"/>
      <c r="R1982" s="202"/>
    </row>
    <row r="1983" spans="3:18" ht="16.5">
      <c r="C1983" s="202"/>
      <c r="D1983" s="202"/>
      <c r="E1983" s="199"/>
      <c r="F1983" s="202"/>
      <c r="G1983" s="202"/>
      <c r="H1983" s="202"/>
      <c r="I1983" s="202"/>
      <c r="O1983" s="202"/>
      <c r="R1983" s="202"/>
    </row>
    <row r="1984" spans="3:18" ht="16.5">
      <c r="C1984" s="202"/>
      <c r="D1984" s="202"/>
      <c r="E1984" s="199"/>
      <c r="F1984" s="202"/>
      <c r="G1984" s="202"/>
      <c r="H1984" s="202"/>
      <c r="I1984" s="202"/>
      <c r="O1984" s="202"/>
      <c r="R1984" s="202"/>
    </row>
    <row r="1985" spans="3:18" ht="16.5">
      <c r="C1985" s="202"/>
      <c r="D1985" s="202"/>
      <c r="E1985" s="199"/>
      <c r="F1985" s="202"/>
      <c r="G1985" s="202"/>
      <c r="H1985" s="202"/>
      <c r="I1985" s="202"/>
      <c r="O1985" s="202"/>
      <c r="R1985" s="202"/>
    </row>
    <row r="1986" spans="3:18" ht="16.5">
      <c r="C1986" s="202"/>
      <c r="D1986" s="202"/>
      <c r="E1986" s="199"/>
      <c r="F1986" s="202"/>
      <c r="G1986" s="202"/>
      <c r="H1986" s="202"/>
      <c r="I1986" s="202"/>
      <c r="O1986" s="202"/>
      <c r="R1986" s="202"/>
    </row>
    <row r="1987" spans="3:18" ht="16.5">
      <c r="C1987" s="202"/>
      <c r="D1987" s="202"/>
      <c r="E1987" s="199"/>
      <c r="F1987" s="202"/>
      <c r="G1987" s="202"/>
      <c r="H1987" s="202"/>
      <c r="I1987" s="202"/>
      <c r="O1987" s="202"/>
      <c r="R1987" s="202"/>
    </row>
    <row r="1988" spans="3:18" ht="16.5">
      <c r="C1988" s="202"/>
      <c r="D1988" s="202"/>
      <c r="E1988" s="199"/>
      <c r="F1988" s="202"/>
      <c r="G1988" s="202"/>
      <c r="H1988" s="202"/>
      <c r="I1988" s="202"/>
      <c r="O1988" s="202"/>
      <c r="R1988" s="202"/>
    </row>
    <row r="1989" spans="3:18" ht="16.5">
      <c r="C1989" s="202"/>
      <c r="D1989" s="202"/>
      <c r="E1989" s="199"/>
      <c r="F1989" s="202"/>
      <c r="G1989" s="202"/>
      <c r="H1989" s="202"/>
      <c r="I1989" s="202"/>
      <c r="O1989" s="202"/>
      <c r="R1989" s="202"/>
    </row>
    <row r="1990" spans="3:18" ht="16.5">
      <c r="C1990" s="202"/>
      <c r="D1990" s="202"/>
      <c r="E1990" s="199"/>
      <c r="F1990" s="202"/>
      <c r="G1990" s="202"/>
      <c r="H1990" s="202"/>
      <c r="I1990" s="202"/>
      <c r="O1990" s="202"/>
      <c r="R1990" s="202"/>
    </row>
    <row r="1991" spans="3:18" ht="16.5">
      <c r="C1991" s="202"/>
      <c r="D1991" s="202"/>
      <c r="E1991" s="199"/>
      <c r="F1991" s="202"/>
      <c r="G1991" s="202"/>
      <c r="H1991" s="202"/>
      <c r="I1991" s="202"/>
      <c r="O1991" s="202"/>
      <c r="R1991" s="202"/>
    </row>
    <row r="1992" spans="3:18" ht="16.5">
      <c r="C1992" s="202"/>
      <c r="D1992" s="202"/>
      <c r="E1992" s="199"/>
      <c r="F1992" s="202"/>
      <c r="G1992" s="202"/>
      <c r="H1992" s="202"/>
      <c r="I1992" s="202"/>
      <c r="O1992" s="202"/>
      <c r="R1992" s="202"/>
    </row>
    <row r="1993" spans="3:18" ht="16.5">
      <c r="C1993" s="202"/>
      <c r="D1993" s="202"/>
      <c r="E1993" s="199"/>
      <c r="F1993" s="202"/>
      <c r="G1993" s="202"/>
      <c r="H1993" s="202"/>
      <c r="I1993" s="202"/>
      <c r="O1993" s="202"/>
      <c r="R1993" s="202"/>
    </row>
    <row r="1994" spans="3:18" ht="16.5">
      <c r="C1994" s="202"/>
      <c r="D1994" s="202"/>
      <c r="E1994" s="199"/>
      <c r="F1994" s="202"/>
      <c r="G1994" s="202"/>
      <c r="H1994" s="202"/>
      <c r="I1994" s="202"/>
      <c r="O1994" s="202"/>
      <c r="R1994" s="202"/>
    </row>
    <row r="1995" spans="3:18" ht="16.5">
      <c r="C1995" s="202"/>
      <c r="D1995" s="202"/>
      <c r="E1995" s="199"/>
      <c r="F1995" s="202"/>
      <c r="G1995" s="202"/>
      <c r="H1995" s="202"/>
      <c r="I1995" s="202"/>
      <c r="O1995" s="202"/>
      <c r="R1995" s="202"/>
    </row>
    <row r="1996" spans="3:18" ht="16.5">
      <c r="C1996" s="202"/>
      <c r="D1996" s="202"/>
      <c r="E1996" s="199"/>
      <c r="F1996" s="202"/>
      <c r="G1996" s="202"/>
      <c r="H1996" s="202"/>
      <c r="I1996" s="202"/>
      <c r="O1996" s="202"/>
      <c r="R1996" s="202"/>
    </row>
    <row r="1997" spans="3:18" ht="16.5">
      <c r="C1997" s="202"/>
      <c r="D1997" s="202"/>
      <c r="E1997" s="199"/>
      <c r="F1997" s="202"/>
      <c r="G1997" s="202"/>
      <c r="H1997" s="202"/>
      <c r="I1997" s="202"/>
      <c r="O1997" s="202"/>
      <c r="R1997" s="202"/>
    </row>
    <row r="1998" spans="3:18" ht="16.5">
      <c r="C1998" s="202"/>
      <c r="D1998" s="202"/>
      <c r="E1998" s="199"/>
      <c r="F1998" s="202"/>
      <c r="G1998" s="202"/>
      <c r="H1998" s="202"/>
      <c r="I1998" s="202"/>
      <c r="O1998" s="202"/>
      <c r="R1998" s="202"/>
    </row>
    <row r="1999" spans="3:18" ht="16.5">
      <c r="C1999" s="202"/>
      <c r="D1999" s="202"/>
      <c r="E1999" s="199"/>
      <c r="F1999" s="202"/>
      <c r="G1999" s="202"/>
      <c r="H1999" s="202"/>
      <c r="I1999" s="202"/>
      <c r="O1999" s="202"/>
      <c r="R1999" s="202"/>
    </row>
    <row r="2000" spans="3:18" ht="16.5">
      <c r="C2000" s="202"/>
      <c r="D2000" s="202"/>
      <c r="E2000" s="199"/>
      <c r="F2000" s="202"/>
      <c r="G2000" s="202"/>
      <c r="H2000" s="202"/>
      <c r="I2000" s="202"/>
      <c r="O2000" s="202"/>
      <c r="R2000" s="202"/>
    </row>
    <row r="2001" spans="3:18" ht="16.5">
      <c r="C2001" s="202"/>
      <c r="D2001" s="202"/>
      <c r="E2001" s="199"/>
      <c r="F2001" s="202"/>
      <c r="G2001" s="202"/>
      <c r="H2001" s="202"/>
      <c r="I2001" s="202"/>
      <c r="O2001" s="202"/>
      <c r="R2001" s="202"/>
    </row>
    <row r="2002" spans="3:18" ht="16.5">
      <c r="C2002" s="202"/>
      <c r="D2002" s="202"/>
      <c r="E2002" s="199"/>
      <c r="F2002" s="202"/>
      <c r="G2002" s="202"/>
      <c r="H2002" s="202"/>
      <c r="I2002" s="202"/>
      <c r="O2002" s="202"/>
      <c r="R2002" s="202"/>
    </row>
    <row r="2003" spans="3:18" ht="16.5">
      <c r="C2003" s="202"/>
      <c r="D2003" s="202"/>
      <c r="E2003" s="199"/>
      <c r="F2003" s="202"/>
      <c r="G2003" s="202"/>
      <c r="H2003" s="202"/>
      <c r="I2003" s="202"/>
      <c r="O2003" s="202"/>
      <c r="R2003" s="202"/>
    </row>
    <row r="2004" spans="3:18" ht="16.5">
      <c r="C2004" s="202"/>
      <c r="D2004" s="202"/>
      <c r="E2004" s="199"/>
      <c r="F2004" s="202"/>
      <c r="G2004" s="202"/>
      <c r="H2004" s="202"/>
      <c r="I2004" s="202"/>
      <c r="O2004" s="202"/>
      <c r="R2004" s="202"/>
    </row>
    <row r="2005" spans="3:18" ht="16.5">
      <c r="C2005" s="202"/>
      <c r="D2005" s="202"/>
      <c r="E2005" s="199"/>
      <c r="F2005" s="202"/>
      <c r="G2005" s="202"/>
      <c r="H2005" s="202"/>
      <c r="I2005" s="202"/>
      <c r="O2005" s="202"/>
      <c r="R2005" s="202"/>
    </row>
    <row r="2006" spans="3:18" ht="16.5">
      <c r="C2006" s="202"/>
      <c r="D2006" s="202"/>
      <c r="E2006" s="199"/>
      <c r="F2006" s="202"/>
      <c r="G2006" s="202"/>
      <c r="H2006" s="202"/>
      <c r="I2006" s="202"/>
      <c r="O2006" s="202"/>
      <c r="R2006" s="202"/>
    </row>
    <row r="2007" spans="3:18" ht="16.5">
      <c r="C2007" s="202"/>
      <c r="D2007" s="202"/>
      <c r="E2007" s="199"/>
      <c r="F2007" s="202"/>
      <c r="G2007" s="202"/>
      <c r="H2007" s="202"/>
      <c r="I2007" s="202"/>
      <c r="O2007" s="202"/>
      <c r="R2007" s="202"/>
    </row>
    <row r="2008" spans="3:18" ht="16.5">
      <c r="C2008" s="202"/>
      <c r="D2008" s="202"/>
      <c r="E2008" s="199"/>
      <c r="F2008" s="202"/>
      <c r="G2008" s="202"/>
      <c r="H2008" s="202"/>
      <c r="I2008" s="202"/>
      <c r="O2008" s="202"/>
      <c r="R2008" s="202"/>
    </row>
    <row r="2009" spans="3:18" ht="16.5">
      <c r="C2009" s="202"/>
      <c r="D2009" s="202"/>
      <c r="E2009" s="199"/>
      <c r="F2009" s="202"/>
      <c r="G2009" s="202"/>
      <c r="H2009" s="202"/>
      <c r="I2009" s="202"/>
      <c r="O2009" s="202"/>
      <c r="R2009" s="202"/>
    </row>
    <row r="2010" spans="3:18" ht="16.5">
      <c r="C2010" s="202"/>
      <c r="D2010" s="202"/>
      <c r="E2010" s="199"/>
      <c r="F2010" s="202"/>
      <c r="G2010" s="202"/>
      <c r="H2010" s="202"/>
      <c r="I2010" s="202"/>
      <c r="O2010" s="202"/>
      <c r="R2010" s="202"/>
    </row>
    <row r="2011" spans="3:18" ht="16.5">
      <c r="C2011" s="202"/>
      <c r="D2011" s="202"/>
      <c r="E2011" s="199"/>
      <c r="F2011" s="202"/>
      <c r="G2011" s="202"/>
      <c r="H2011" s="202"/>
      <c r="I2011" s="202"/>
      <c r="O2011" s="202"/>
      <c r="R2011" s="202"/>
    </row>
    <row r="2012" spans="3:18" ht="16.5">
      <c r="C2012" s="202"/>
      <c r="D2012" s="202"/>
      <c r="E2012" s="199"/>
      <c r="F2012" s="202"/>
      <c r="G2012" s="202"/>
      <c r="H2012" s="202"/>
      <c r="I2012" s="202"/>
      <c r="O2012" s="202"/>
      <c r="R2012" s="202"/>
    </row>
    <row r="2013" spans="3:18" ht="16.5">
      <c r="C2013" s="202"/>
      <c r="D2013" s="202"/>
      <c r="E2013" s="199"/>
      <c r="F2013" s="202"/>
      <c r="G2013" s="202"/>
      <c r="H2013" s="202"/>
      <c r="I2013" s="202"/>
      <c r="O2013" s="202"/>
      <c r="R2013" s="202"/>
    </row>
    <row r="2014" spans="3:18" ht="16.5">
      <c r="C2014" s="202"/>
      <c r="D2014" s="202"/>
      <c r="E2014" s="199"/>
      <c r="F2014" s="202"/>
      <c r="G2014" s="202"/>
      <c r="H2014" s="202"/>
      <c r="I2014" s="202"/>
      <c r="O2014" s="202"/>
      <c r="R2014" s="202"/>
    </row>
    <row r="2015" spans="3:18" ht="16.5">
      <c r="C2015" s="202"/>
      <c r="D2015" s="202"/>
      <c r="E2015" s="199"/>
      <c r="F2015" s="202"/>
      <c r="G2015" s="202"/>
      <c r="H2015" s="202"/>
      <c r="I2015" s="202"/>
      <c r="O2015" s="202"/>
      <c r="R2015" s="202"/>
    </row>
    <row r="2016" spans="3:18" ht="16.5">
      <c r="C2016" s="202"/>
      <c r="D2016" s="202"/>
      <c r="E2016" s="199"/>
      <c r="F2016" s="202"/>
      <c r="G2016" s="202"/>
      <c r="H2016" s="202"/>
      <c r="I2016" s="202"/>
      <c r="O2016" s="202"/>
      <c r="R2016" s="202"/>
    </row>
    <row r="2017" spans="3:18" ht="16.5">
      <c r="C2017" s="202"/>
      <c r="D2017" s="202"/>
      <c r="E2017" s="199"/>
      <c r="F2017" s="202"/>
      <c r="G2017" s="202"/>
      <c r="H2017" s="202"/>
      <c r="I2017" s="202"/>
      <c r="O2017" s="202"/>
      <c r="R2017" s="202"/>
    </row>
    <row r="2018" spans="3:18" ht="16.5">
      <c r="C2018" s="202"/>
      <c r="D2018" s="202"/>
      <c r="E2018" s="199"/>
      <c r="F2018" s="202"/>
      <c r="G2018" s="202"/>
      <c r="H2018" s="202"/>
      <c r="I2018" s="202"/>
      <c r="O2018" s="202"/>
      <c r="R2018" s="202"/>
    </row>
    <row r="2019" spans="3:18" ht="16.5">
      <c r="C2019" s="202"/>
      <c r="D2019" s="202"/>
      <c r="E2019" s="199"/>
      <c r="F2019" s="202"/>
      <c r="G2019" s="202"/>
      <c r="H2019" s="202"/>
      <c r="I2019" s="202"/>
      <c r="O2019" s="202"/>
      <c r="R2019" s="202"/>
    </row>
    <row r="2020" spans="3:18" ht="16.5">
      <c r="C2020" s="202"/>
      <c r="D2020" s="202"/>
      <c r="E2020" s="199"/>
      <c r="F2020" s="202"/>
      <c r="G2020" s="202"/>
      <c r="H2020" s="202"/>
      <c r="I2020" s="202"/>
      <c r="O2020" s="202"/>
      <c r="R2020" s="202"/>
    </row>
    <row r="2021" spans="3:18" ht="16.5">
      <c r="C2021" s="202"/>
      <c r="D2021" s="202"/>
      <c r="E2021" s="199"/>
      <c r="F2021" s="202"/>
      <c r="G2021" s="202"/>
      <c r="H2021" s="202"/>
      <c r="I2021" s="202"/>
      <c r="O2021" s="202"/>
      <c r="R2021" s="202"/>
    </row>
    <row r="2022" spans="3:18" ht="16.5">
      <c r="C2022" s="202"/>
      <c r="D2022" s="202"/>
      <c r="E2022" s="199"/>
      <c r="F2022" s="202"/>
      <c r="G2022" s="202"/>
      <c r="H2022" s="202"/>
      <c r="I2022" s="202"/>
      <c r="O2022" s="202"/>
      <c r="R2022" s="202"/>
    </row>
    <row r="2023" spans="3:18" ht="16.5">
      <c r="C2023" s="202"/>
      <c r="D2023" s="202"/>
      <c r="E2023" s="199"/>
      <c r="F2023" s="202"/>
      <c r="G2023" s="202"/>
      <c r="H2023" s="202"/>
      <c r="I2023" s="202"/>
      <c r="O2023" s="202"/>
      <c r="R2023" s="202"/>
    </row>
    <row r="2024" spans="3:18" ht="16.5">
      <c r="C2024" s="202"/>
      <c r="D2024" s="202"/>
      <c r="E2024" s="199"/>
      <c r="F2024" s="202"/>
      <c r="G2024" s="202"/>
      <c r="H2024" s="202"/>
      <c r="I2024" s="202"/>
      <c r="O2024" s="202"/>
      <c r="R2024" s="202"/>
    </row>
    <row r="2025" spans="3:18" ht="16.5">
      <c r="C2025" s="202"/>
      <c r="D2025" s="202"/>
      <c r="E2025" s="199"/>
      <c r="F2025" s="202"/>
      <c r="G2025" s="202"/>
      <c r="H2025" s="202"/>
      <c r="I2025" s="202"/>
      <c r="O2025" s="202"/>
      <c r="R2025" s="202"/>
    </row>
    <row r="2026" spans="3:18" ht="16.5">
      <c r="C2026" s="202"/>
      <c r="D2026" s="202"/>
      <c r="E2026" s="199"/>
      <c r="F2026" s="202"/>
      <c r="G2026" s="202"/>
      <c r="H2026" s="202"/>
      <c r="I2026" s="202"/>
      <c r="O2026" s="202"/>
      <c r="R2026" s="202"/>
    </row>
    <row r="2027" spans="3:18" ht="16.5">
      <c r="C2027" s="202"/>
      <c r="D2027" s="202"/>
      <c r="E2027" s="199"/>
      <c r="F2027" s="202"/>
      <c r="G2027" s="202"/>
      <c r="H2027" s="202"/>
      <c r="I2027" s="202"/>
      <c r="O2027" s="202"/>
      <c r="R2027" s="202"/>
    </row>
    <row r="2028" spans="3:18" ht="16.5">
      <c r="C2028" s="202"/>
      <c r="D2028" s="202"/>
      <c r="E2028" s="199"/>
      <c r="F2028" s="202"/>
      <c r="G2028" s="202"/>
      <c r="H2028" s="202"/>
      <c r="I2028" s="202"/>
      <c r="O2028" s="202"/>
      <c r="R2028" s="202"/>
    </row>
    <row r="2029" spans="3:18" ht="16.5">
      <c r="C2029" s="202"/>
      <c r="D2029" s="202"/>
      <c r="E2029" s="199"/>
      <c r="F2029" s="202"/>
      <c r="G2029" s="202"/>
      <c r="H2029" s="202"/>
      <c r="I2029" s="202"/>
      <c r="O2029" s="202"/>
      <c r="R2029" s="202"/>
    </row>
    <row r="2030" spans="3:18" ht="16.5">
      <c r="C2030" s="202"/>
      <c r="D2030" s="202"/>
      <c r="E2030" s="199"/>
      <c r="F2030" s="202"/>
      <c r="G2030" s="202"/>
      <c r="H2030" s="202"/>
      <c r="I2030" s="202"/>
      <c r="O2030" s="202"/>
      <c r="R2030" s="202"/>
    </row>
    <row r="2031" spans="3:18" ht="16.5">
      <c r="C2031" s="202"/>
      <c r="D2031" s="202"/>
      <c r="E2031" s="199"/>
      <c r="F2031" s="202"/>
      <c r="G2031" s="202"/>
      <c r="H2031" s="202"/>
      <c r="I2031" s="202"/>
      <c r="O2031" s="202"/>
      <c r="R2031" s="202"/>
    </row>
    <row r="2032" spans="3:18" ht="16.5">
      <c r="C2032" s="202"/>
      <c r="D2032" s="202"/>
      <c r="E2032" s="199"/>
      <c r="F2032" s="202"/>
      <c r="G2032" s="202"/>
      <c r="H2032" s="202"/>
      <c r="I2032" s="202"/>
      <c r="O2032" s="202"/>
      <c r="R2032" s="202"/>
    </row>
    <row r="2033" spans="3:18" ht="16.5">
      <c r="C2033" s="202"/>
      <c r="D2033" s="202"/>
      <c r="E2033" s="199"/>
      <c r="F2033" s="202"/>
      <c r="G2033" s="202"/>
      <c r="H2033" s="202"/>
      <c r="I2033" s="202"/>
      <c r="O2033" s="202"/>
      <c r="R2033" s="202"/>
    </row>
    <row r="2034" spans="3:18" ht="16.5">
      <c r="C2034" s="202"/>
      <c r="D2034" s="202"/>
      <c r="E2034" s="199"/>
      <c r="F2034" s="202"/>
      <c r="G2034" s="202"/>
      <c r="H2034" s="202"/>
      <c r="I2034" s="202"/>
      <c r="O2034" s="202"/>
      <c r="R2034" s="202"/>
    </row>
    <row r="2035" spans="3:18" ht="16.5">
      <c r="C2035" s="202"/>
      <c r="D2035" s="202"/>
      <c r="E2035" s="199"/>
      <c r="F2035" s="202"/>
      <c r="G2035" s="202"/>
      <c r="H2035" s="202"/>
      <c r="I2035" s="202"/>
      <c r="O2035" s="202"/>
      <c r="R2035" s="202"/>
    </row>
    <row r="2036" spans="3:18" ht="16.5">
      <c r="C2036" s="202"/>
      <c r="D2036" s="202"/>
      <c r="E2036" s="199"/>
      <c r="F2036" s="202"/>
      <c r="G2036" s="202"/>
      <c r="H2036" s="202"/>
      <c r="I2036" s="202"/>
      <c r="O2036" s="202"/>
      <c r="R2036" s="202"/>
    </row>
    <row r="2037" spans="3:18" ht="16.5">
      <c r="C2037" s="202"/>
      <c r="D2037" s="202"/>
      <c r="E2037" s="199"/>
      <c r="F2037" s="202"/>
      <c r="G2037" s="202"/>
      <c r="H2037" s="202"/>
      <c r="I2037" s="202"/>
      <c r="O2037" s="202"/>
      <c r="R2037" s="202"/>
    </row>
    <row r="2038" spans="3:18" ht="16.5">
      <c r="C2038" s="202"/>
      <c r="D2038" s="202"/>
      <c r="E2038" s="199"/>
      <c r="F2038" s="202"/>
      <c r="G2038" s="202"/>
      <c r="H2038" s="202"/>
      <c r="I2038" s="202"/>
      <c r="O2038" s="202"/>
      <c r="R2038" s="202"/>
    </row>
    <row r="2039" spans="3:18" ht="16.5">
      <c r="C2039" s="202"/>
      <c r="D2039" s="202"/>
      <c r="E2039" s="199"/>
      <c r="F2039" s="202"/>
      <c r="G2039" s="202"/>
      <c r="H2039" s="202"/>
      <c r="I2039" s="202"/>
      <c r="O2039" s="202"/>
      <c r="R2039" s="202"/>
    </row>
    <row r="2040" spans="3:18" ht="16.5">
      <c r="C2040" s="202"/>
      <c r="D2040" s="202"/>
      <c r="E2040" s="199"/>
      <c r="F2040" s="202"/>
      <c r="G2040" s="202"/>
      <c r="H2040" s="202"/>
      <c r="I2040" s="202"/>
      <c r="O2040" s="202"/>
      <c r="R2040" s="202"/>
    </row>
    <row r="2041" spans="3:18" ht="16.5">
      <c r="C2041" s="202"/>
      <c r="D2041" s="202"/>
      <c r="E2041" s="199"/>
      <c r="F2041" s="202"/>
      <c r="G2041" s="202"/>
      <c r="H2041" s="202"/>
      <c r="I2041" s="202"/>
      <c r="O2041" s="202"/>
      <c r="R2041" s="202"/>
    </row>
    <row r="2042" spans="3:18" ht="16.5">
      <c r="C2042" s="202"/>
      <c r="D2042" s="202"/>
      <c r="E2042" s="199"/>
      <c r="F2042" s="202"/>
      <c r="G2042" s="202"/>
      <c r="H2042" s="202"/>
      <c r="I2042" s="202"/>
      <c r="O2042" s="202"/>
      <c r="R2042" s="202"/>
    </row>
    <row r="2043" spans="3:18" ht="16.5">
      <c r="C2043" s="202"/>
      <c r="D2043" s="202"/>
      <c r="E2043" s="199"/>
      <c r="F2043" s="202"/>
      <c r="G2043" s="202"/>
      <c r="H2043" s="202"/>
      <c r="I2043" s="202"/>
      <c r="O2043" s="202"/>
      <c r="R2043" s="202"/>
    </row>
    <row r="2044" spans="3:18" ht="16.5">
      <c r="C2044" s="202"/>
      <c r="D2044" s="202"/>
      <c r="E2044" s="199"/>
      <c r="F2044" s="202"/>
      <c r="G2044" s="202"/>
      <c r="H2044" s="202"/>
      <c r="I2044" s="202"/>
      <c r="O2044" s="202"/>
      <c r="R2044" s="202"/>
    </row>
    <row r="2045" spans="3:18" ht="16.5">
      <c r="C2045" s="202"/>
      <c r="D2045" s="202"/>
      <c r="E2045" s="199"/>
      <c r="F2045" s="202"/>
      <c r="G2045" s="202"/>
      <c r="H2045" s="202"/>
      <c r="I2045" s="202"/>
      <c r="O2045" s="202"/>
      <c r="R2045" s="202"/>
    </row>
    <row r="2046" spans="3:18" ht="16.5">
      <c r="C2046" s="202"/>
      <c r="D2046" s="202"/>
      <c r="E2046" s="199"/>
      <c r="F2046" s="202"/>
      <c r="G2046" s="202"/>
      <c r="H2046" s="202"/>
      <c r="I2046" s="202"/>
      <c r="O2046" s="202"/>
      <c r="R2046" s="202"/>
    </row>
    <row r="2047" spans="3:18" ht="16.5">
      <c r="C2047" s="202"/>
      <c r="D2047" s="202"/>
      <c r="E2047" s="199"/>
      <c r="F2047" s="202"/>
      <c r="G2047" s="202"/>
      <c r="H2047" s="202"/>
      <c r="I2047" s="202"/>
      <c r="O2047" s="202"/>
      <c r="R2047" s="202"/>
    </row>
    <row r="2048" spans="3:18" ht="16.5">
      <c r="C2048" s="202"/>
      <c r="D2048" s="202"/>
      <c r="E2048" s="199"/>
      <c r="F2048" s="202"/>
      <c r="G2048" s="202"/>
      <c r="H2048" s="202"/>
      <c r="I2048" s="202"/>
      <c r="O2048" s="202"/>
      <c r="R2048" s="202"/>
    </row>
    <row r="2049" spans="3:18" ht="16.5">
      <c r="C2049" s="202"/>
      <c r="D2049" s="202"/>
      <c r="E2049" s="199"/>
      <c r="F2049" s="202"/>
      <c r="G2049" s="202"/>
      <c r="H2049" s="202"/>
      <c r="I2049" s="202"/>
      <c r="O2049" s="202"/>
      <c r="R2049" s="202"/>
    </row>
    <row r="2050" spans="3:18" ht="16.5">
      <c r="C2050" s="202"/>
      <c r="D2050" s="202"/>
      <c r="E2050" s="199"/>
      <c r="F2050" s="202"/>
      <c r="G2050" s="202"/>
      <c r="H2050" s="202"/>
      <c r="I2050" s="202"/>
      <c r="O2050" s="202"/>
      <c r="R2050" s="202"/>
    </row>
    <row r="2051" spans="3:18" ht="16.5">
      <c r="C2051" s="202"/>
      <c r="D2051" s="202"/>
      <c r="E2051" s="199"/>
      <c r="F2051" s="202"/>
      <c r="G2051" s="202"/>
      <c r="H2051" s="202"/>
      <c r="I2051" s="202"/>
      <c r="O2051" s="202"/>
      <c r="R2051" s="202"/>
    </row>
    <row r="2052" spans="3:18" ht="16.5">
      <c r="C2052" s="202"/>
      <c r="D2052" s="202"/>
      <c r="E2052" s="199"/>
      <c r="F2052" s="202"/>
      <c r="G2052" s="202"/>
      <c r="H2052" s="202"/>
      <c r="I2052" s="202"/>
      <c r="O2052" s="202"/>
      <c r="R2052" s="202"/>
    </row>
    <row r="2053" spans="3:18" ht="16.5">
      <c r="C2053" s="202"/>
      <c r="D2053" s="202"/>
      <c r="E2053" s="199"/>
      <c r="F2053" s="202"/>
      <c r="G2053" s="202"/>
      <c r="H2053" s="202"/>
      <c r="I2053" s="202"/>
      <c r="O2053" s="202"/>
      <c r="R2053" s="202"/>
    </row>
    <row r="2054" spans="3:18" ht="16.5">
      <c r="C2054" s="202"/>
      <c r="D2054" s="202"/>
      <c r="E2054" s="199"/>
      <c r="F2054" s="202"/>
      <c r="G2054" s="202"/>
      <c r="H2054" s="202"/>
      <c r="I2054" s="202"/>
      <c r="O2054" s="202"/>
      <c r="R2054" s="202"/>
    </row>
    <row r="2055" spans="3:18" ht="16.5">
      <c r="C2055" s="202"/>
      <c r="D2055" s="202"/>
      <c r="E2055" s="199"/>
      <c r="F2055" s="202"/>
      <c r="G2055" s="202"/>
      <c r="H2055" s="202"/>
      <c r="I2055" s="202"/>
      <c r="O2055" s="202"/>
      <c r="R2055" s="202"/>
    </row>
    <row r="2056" spans="3:18" ht="16.5">
      <c r="C2056" s="202"/>
      <c r="D2056" s="202"/>
      <c r="E2056" s="199"/>
      <c r="F2056" s="202"/>
      <c r="G2056" s="202"/>
      <c r="H2056" s="202"/>
      <c r="I2056" s="202"/>
      <c r="O2056" s="202"/>
      <c r="R2056" s="202"/>
    </row>
    <row r="2057" spans="3:18" ht="16.5">
      <c r="C2057" s="202"/>
      <c r="D2057" s="202"/>
      <c r="E2057" s="199"/>
      <c r="F2057" s="202"/>
      <c r="G2057" s="202"/>
      <c r="H2057" s="202"/>
      <c r="I2057" s="202"/>
      <c r="O2057" s="202"/>
      <c r="R2057" s="202"/>
    </row>
    <row r="2058" spans="3:18" ht="16.5">
      <c r="C2058" s="202"/>
      <c r="D2058" s="202"/>
      <c r="E2058" s="199"/>
      <c r="F2058" s="202"/>
      <c r="G2058" s="202"/>
      <c r="H2058" s="202"/>
      <c r="I2058" s="202"/>
      <c r="O2058" s="202"/>
      <c r="R2058" s="202"/>
    </row>
    <row r="2059" spans="3:18" ht="16.5">
      <c r="C2059" s="202"/>
      <c r="D2059" s="202"/>
      <c r="E2059" s="199"/>
      <c r="F2059" s="202"/>
      <c r="G2059" s="202"/>
      <c r="H2059" s="202"/>
      <c r="I2059" s="202"/>
      <c r="O2059" s="202"/>
      <c r="R2059" s="202"/>
    </row>
    <row r="2060" spans="3:18" ht="16.5">
      <c r="C2060" s="202"/>
      <c r="D2060" s="202"/>
      <c r="E2060" s="199"/>
      <c r="F2060" s="202"/>
      <c r="G2060" s="202"/>
      <c r="H2060" s="202"/>
      <c r="I2060" s="202"/>
      <c r="O2060" s="202"/>
      <c r="R2060" s="202"/>
    </row>
    <row r="2061" spans="3:18" ht="16.5">
      <c r="C2061" s="202"/>
      <c r="D2061" s="202"/>
      <c r="E2061" s="199"/>
      <c r="F2061" s="202"/>
      <c r="G2061" s="202"/>
      <c r="H2061" s="202"/>
      <c r="I2061" s="202"/>
      <c r="O2061" s="202"/>
      <c r="R2061" s="202"/>
    </row>
    <row r="2062" spans="3:18" ht="16.5">
      <c r="C2062" s="202"/>
      <c r="D2062" s="202"/>
      <c r="E2062" s="199"/>
      <c r="F2062" s="202"/>
      <c r="G2062" s="202"/>
      <c r="H2062" s="202"/>
      <c r="I2062" s="202"/>
      <c r="O2062" s="202"/>
      <c r="R2062" s="202"/>
    </row>
    <row r="2063" spans="3:18" ht="16.5">
      <c r="C2063" s="202"/>
      <c r="D2063" s="202"/>
      <c r="E2063" s="199"/>
      <c r="F2063" s="202"/>
      <c r="G2063" s="202"/>
      <c r="H2063" s="202"/>
      <c r="I2063" s="202"/>
      <c r="O2063" s="202"/>
      <c r="R2063" s="202"/>
    </row>
    <row r="2064" spans="3:18" ht="16.5">
      <c r="C2064" s="202"/>
      <c r="D2064" s="202"/>
      <c r="E2064" s="199"/>
      <c r="F2064" s="202"/>
      <c r="G2064" s="202"/>
      <c r="H2064" s="202"/>
      <c r="I2064" s="202"/>
      <c r="O2064" s="202"/>
      <c r="R2064" s="202"/>
    </row>
    <row r="2065" spans="3:18" ht="16.5">
      <c r="C2065" s="202"/>
      <c r="D2065" s="202"/>
      <c r="E2065" s="199"/>
      <c r="F2065" s="202"/>
      <c r="G2065" s="202"/>
      <c r="H2065" s="202"/>
      <c r="I2065" s="202"/>
      <c r="O2065" s="202"/>
      <c r="R2065" s="202"/>
    </row>
    <row r="2066" spans="3:18" ht="16.5">
      <c r="C2066" s="202"/>
      <c r="D2066" s="202"/>
      <c r="E2066" s="199"/>
      <c r="F2066" s="202"/>
      <c r="G2066" s="202"/>
      <c r="H2066" s="202"/>
      <c r="I2066" s="202"/>
      <c r="O2066" s="202"/>
      <c r="R2066" s="202"/>
    </row>
    <row r="2067" spans="3:18" ht="16.5">
      <c r="C2067" s="202"/>
      <c r="D2067" s="202"/>
      <c r="E2067" s="199"/>
      <c r="F2067" s="202"/>
      <c r="G2067" s="202"/>
      <c r="H2067" s="202"/>
      <c r="I2067" s="202"/>
      <c r="O2067" s="202"/>
      <c r="R2067" s="202"/>
    </row>
    <row r="2068" spans="3:18" ht="16.5">
      <c r="C2068" s="202"/>
      <c r="D2068" s="202"/>
      <c r="E2068" s="199"/>
      <c r="F2068" s="202"/>
      <c r="G2068" s="202"/>
      <c r="H2068" s="202"/>
      <c r="I2068" s="202"/>
      <c r="O2068" s="202"/>
      <c r="R2068" s="202"/>
    </row>
    <row r="2069" spans="3:18" ht="16.5">
      <c r="C2069" s="202"/>
      <c r="D2069" s="202"/>
      <c r="E2069" s="199"/>
      <c r="F2069" s="202"/>
      <c r="G2069" s="202"/>
      <c r="H2069" s="202"/>
      <c r="I2069" s="202"/>
      <c r="O2069" s="202"/>
      <c r="R2069" s="202"/>
    </row>
    <row r="2070" spans="3:18" ht="16.5">
      <c r="C2070" s="202"/>
      <c r="D2070" s="202"/>
      <c r="E2070" s="199"/>
      <c r="F2070" s="202"/>
      <c r="G2070" s="202"/>
      <c r="H2070" s="202"/>
      <c r="I2070" s="202"/>
      <c r="O2070" s="202"/>
      <c r="R2070" s="202"/>
    </row>
    <row r="2071" spans="3:18" ht="16.5">
      <c r="C2071" s="202"/>
      <c r="D2071" s="202"/>
      <c r="E2071" s="199"/>
      <c r="F2071" s="202"/>
      <c r="G2071" s="202"/>
      <c r="H2071" s="202"/>
      <c r="I2071" s="202"/>
      <c r="O2071" s="202"/>
      <c r="R2071" s="202"/>
    </row>
    <row r="2072" spans="3:18" ht="16.5">
      <c r="C2072" s="202"/>
      <c r="D2072" s="202"/>
      <c r="E2072" s="199"/>
      <c r="F2072" s="202"/>
      <c r="G2072" s="202"/>
      <c r="H2072" s="202"/>
      <c r="I2072" s="202"/>
      <c r="O2072" s="202"/>
      <c r="R2072" s="202"/>
    </row>
    <row r="2073" spans="3:18" ht="16.5">
      <c r="C2073" s="202"/>
      <c r="D2073" s="202"/>
      <c r="E2073" s="199"/>
      <c r="F2073" s="202"/>
      <c r="G2073" s="202"/>
      <c r="H2073" s="202"/>
      <c r="I2073" s="202"/>
      <c r="O2073" s="202"/>
      <c r="R2073" s="202"/>
    </row>
    <row r="2074" spans="3:18" ht="16.5">
      <c r="C2074" s="202"/>
      <c r="D2074" s="202"/>
      <c r="E2074" s="199"/>
      <c r="F2074" s="202"/>
      <c r="G2074" s="202"/>
      <c r="H2074" s="202"/>
      <c r="I2074" s="202"/>
      <c r="O2074" s="202"/>
      <c r="R2074" s="202"/>
    </row>
    <row r="2075" spans="3:18" ht="16.5">
      <c r="C2075" s="202"/>
      <c r="D2075" s="202"/>
      <c r="E2075" s="199"/>
      <c r="F2075" s="202"/>
      <c r="G2075" s="202"/>
      <c r="H2075" s="202"/>
      <c r="I2075" s="202"/>
      <c r="O2075" s="202"/>
      <c r="R2075" s="202"/>
    </row>
    <row r="2076" spans="3:18" ht="16.5">
      <c r="C2076" s="202"/>
      <c r="D2076" s="202"/>
      <c r="E2076" s="199"/>
      <c r="F2076" s="202"/>
      <c r="G2076" s="202"/>
      <c r="H2076" s="202"/>
      <c r="I2076" s="202"/>
      <c r="O2076" s="202"/>
      <c r="R2076" s="202"/>
    </row>
    <row r="2077" spans="3:18" ht="16.5">
      <c r="C2077" s="202"/>
      <c r="D2077" s="202"/>
      <c r="E2077" s="199"/>
      <c r="F2077" s="202"/>
      <c r="G2077" s="202"/>
      <c r="H2077" s="202"/>
      <c r="I2077" s="202"/>
      <c r="O2077" s="202"/>
      <c r="R2077" s="202"/>
    </row>
    <row r="2078" spans="3:18" ht="16.5">
      <c r="C2078" s="202"/>
      <c r="D2078" s="202"/>
      <c r="E2078" s="199"/>
      <c r="F2078" s="202"/>
      <c r="G2078" s="202"/>
      <c r="H2078" s="202"/>
      <c r="I2078" s="202"/>
      <c r="O2078" s="202"/>
      <c r="R2078" s="202"/>
    </row>
    <row r="2079" spans="3:18" ht="16.5">
      <c r="C2079" s="202"/>
      <c r="D2079" s="202"/>
      <c r="E2079" s="199"/>
      <c r="F2079" s="202"/>
      <c r="G2079" s="202"/>
      <c r="H2079" s="202"/>
      <c r="I2079" s="202"/>
      <c r="O2079" s="202"/>
      <c r="R2079" s="202"/>
    </row>
    <row r="2080" spans="3:18" ht="16.5">
      <c r="C2080" s="202"/>
      <c r="D2080" s="202"/>
      <c r="E2080" s="199"/>
      <c r="F2080" s="202"/>
      <c r="G2080" s="202"/>
      <c r="H2080" s="202"/>
      <c r="I2080" s="202"/>
      <c r="O2080" s="202"/>
      <c r="R2080" s="202"/>
    </row>
    <row r="2081" spans="3:18" ht="16.5">
      <c r="C2081" s="202"/>
      <c r="D2081" s="202"/>
      <c r="E2081" s="199"/>
      <c r="F2081" s="202"/>
      <c r="G2081" s="202"/>
      <c r="H2081" s="202"/>
      <c r="I2081" s="202"/>
      <c r="O2081" s="202"/>
      <c r="R2081" s="202"/>
    </row>
    <row r="2082" spans="3:18" ht="16.5">
      <c r="C2082" s="202"/>
      <c r="D2082" s="202"/>
      <c r="E2082" s="199"/>
      <c r="F2082" s="202"/>
      <c r="G2082" s="202"/>
      <c r="H2082" s="202"/>
      <c r="I2082" s="202"/>
      <c r="O2082" s="202"/>
      <c r="R2082" s="202"/>
    </row>
    <row r="2083" spans="3:18" ht="16.5">
      <c r="C2083" s="202"/>
      <c r="D2083" s="202"/>
      <c r="E2083" s="199"/>
      <c r="F2083" s="202"/>
      <c r="G2083" s="202"/>
      <c r="H2083" s="202"/>
      <c r="I2083" s="202"/>
      <c r="O2083" s="202"/>
      <c r="R2083" s="202"/>
    </row>
    <row r="2084" spans="3:18" ht="16.5">
      <c r="C2084" s="202"/>
      <c r="D2084" s="202"/>
      <c r="E2084" s="199"/>
      <c r="F2084" s="202"/>
      <c r="G2084" s="202"/>
      <c r="H2084" s="202"/>
      <c r="I2084" s="202"/>
      <c r="O2084" s="202"/>
      <c r="R2084" s="202"/>
    </row>
    <row r="2085" spans="3:18" ht="16.5">
      <c r="C2085" s="202"/>
      <c r="D2085" s="202"/>
      <c r="E2085" s="199"/>
      <c r="F2085" s="202"/>
      <c r="G2085" s="202"/>
      <c r="H2085" s="202"/>
      <c r="I2085" s="202"/>
      <c r="O2085" s="202"/>
      <c r="R2085" s="202"/>
    </row>
    <row r="2086" spans="3:18" ht="16.5">
      <c r="C2086" s="202"/>
      <c r="D2086" s="202"/>
      <c r="E2086" s="199"/>
      <c r="F2086" s="202"/>
      <c r="G2086" s="202"/>
      <c r="H2086" s="202"/>
      <c r="I2086" s="202"/>
      <c r="O2086" s="202"/>
      <c r="R2086" s="202"/>
    </row>
    <row r="2087" spans="3:18" ht="16.5">
      <c r="C2087" s="202"/>
      <c r="D2087" s="202"/>
      <c r="E2087" s="199"/>
      <c r="F2087" s="202"/>
      <c r="G2087" s="202"/>
      <c r="H2087" s="202"/>
      <c r="I2087" s="202"/>
      <c r="O2087" s="202"/>
      <c r="R2087" s="202"/>
    </row>
    <row r="2088" spans="3:18" ht="16.5">
      <c r="C2088" s="202"/>
      <c r="D2088" s="202"/>
      <c r="E2088" s="199"/>
      <c r="F2088" s="202"/>
      <c r="G2088" s="202"/>
      <c r="H2088" s="202"/>
      <c r="I2088" s="202"/>
      <c r="O2088" s="202"/>
      <c r="R2088" s="202"/>
    </row>
    <row r="2089" spans="3:18" ht="16.5">
      <c r="C2089" s="202"/>
      <c r="D2089" s="202"/>
      <c r="E2089" s="199"/>
      <c r="F2089" s="202"/>
      <c r="G2089" s="202"/>
      <c r="H2089" s="202"/>
      <c r="I2089" s="202"/>
      <c r="O2089" s="202"/>
      <c r="R2089" s="202"/>
    </row>
    <row r="2090" spans="3:18" ht="16.5">
      <c r="C2090" s="202"/>
      <c r="D2090" s="202"/>
      <c r="E2090" s="199"/>
      <c r="F2090" s="202"/>
      <c r="G2090" s="202"/>
      <c r="H2090" s="202"/>
      <c r="I2090" s="202"/>
      <c r="O2090" s="202"/>
      <c r="R2090" s="202"/>
    </row>
    <row r="2091" spans="3:18" ht="16.5">
      <c r="C2091" s="202"/>
      <c r="D2091" s="202"/>
      <c r="E2091" s="199"/>
      <c r="F2091" s="202"/>
      <c r="G2091" s="202"/>
      <c r="H2091" s="202"/>
      <c r="I2091" s="202"/>
      <c r="O2091" s="202"/>
      <c r="R2091" s="202"/>
    </row>
    <row r="2092" spans="3:18" ht="16.5">
      <c r="C2092" s="202"/>
      <c r="D2092" s="202"/>
      <c r="E2092" s="199"/>
      <c r="F2092" s="202"/>
      <c r="G2092" s="202"/>
      <c r="H2092" s="202"/>
      <c r="I2092" s="202"/>
      <c r="O2092" s="202"/>
      <c r="R2092" s="202"/>
    </row>
    <row r="2093" spans="3:18" ht="16.5">
      <c r="C2093" s="202"/>
      <c r="D2093" s="202"/>
      <c r="E2093" s="199"/>
      <c r="F2093" s="202"/>
      <c r="G2093" s="202"/>
      <c r="H2093" s="202"/>
      <c r="I2093" s="202"/>
      <c r="O2093" s="202"/>
      <c r="R2093" s="202"/>
    </row>
    <row r="2094" spans="3:18" ht="16.5">
      <c r="C2094" s="202"/>
      <c r="D2094" s="202"/>
      <c r="E2094" s="199"/>
      <c r="F2094" s="202"/>
      <c r="G2094" s="202"/>
      <c r="H2094" s="202"/>
      <c r="I2094" s="202"/>
      <c r="O2094" s="202"/>
      <c r="R2094" s="202"/>
    </row>
    <row r="2095" spans="3:18" ht="16.5">
      <c r="C2095" s="202"/>
      <c r="D2095" s="202"/>
      <c r="E2095" s="199"/>
      <c r="F2095" s="202"/>
      <c r="G2095" s="202"/>
      <c r="H2095" s="202"/>
      <c r="I2095" s="202"/>
      <c r="O2095" s="202"/>
      <c r="R2095" s="202"/>
    </row>
    <row r="2096" spans="3:18" ht="16.5">
      <c r="C2096" s="202"/>
      <c r="D2096" s="202"/>
      <c r="E2096" s="199"/>
      <c r="F2096" s="202"/>
      <c r="G2096" s="202"/>
      <c r="H2096" s="202"/>
      <c r="I2096" s="202"/>
      <c r="O2096" s="202"/>
      <c r="R2096" s="202"/>
    </row>
    <row r="2097" spans="3:18" ht="16.5">
      <c r="C2097" s="202"/>
      <c r="D2097" s="202"/>
      <c r="E2097" s="199"/>
      <c r="F2097" s="202"/>
      <c r="G2097" s="202"/>
      <c r="H2097" s="202"/>
      <c r="I2097" s="202"/>
      <c r="O2097" s="202"/>
      <c r="R2097" s="202"/>
    </row>
    <row r="2098" spans="3:18" ht="16.5">
      <c r="C2098" s="202"/>
      <c r="D2098" s="202"/>
      <c r="E2098" s="199"/>
      <c r="F2098" s="202"/>
      <c r="G2098" s="202"/>
      <c r="H2098" s="202"/>
      <c r="I2098" s="202"/>
      <c r="O2098" s="202"/>
      <c r="R2098" s="202"/>
    </row>
    <row r="2099" spans="3:18" ht="16.5">
      <c r="C2099" s="202"/>
      <c r="D2099" s="202"/>
      <c r="E2099" s="199"/>
      <c r="F2099" s="202"/>
      <c r="G2099" s="202"/>
      <c r="H2099" s="202"/>
      <c r="I2099" s="202"/>
      <c r="O2099" s="202"/>
      <c r="R2099" s="202"/>
    </row>
    <row r="2100" spans="3:18" ht="16.5">
      <c r="C2100" s="202"/>
      <c r="D2100" s="202"/>
      <c r="E2100" s="199"/>
      <c r="F2100" s="202"/>
      <c r="G2100" s="202"/>
      <c r="H2100" s="202"/>
      <c r="I2100" s="202"/>
      <c r="O2100" s="202"/>
      <c r="R2100" s="202"/>
    </row>
    <row r="2101" spans="3:18" ht="16.5">
      <c r="C2101" s="202"/>
      <c r="D2101" s="202"/>
      <c r="E2101" s="199"/>
      <c r="F2101" s="202"/>
      <c r="G2101" s="202"/>
      <c r="H2101" s="202"/>
      <c r="I2101" s="202"/>
      <c r="O2101" s="202"/>
      <c r="R2101" s="202"/>
    </row>
    <row r="2102" spans="3:18" ht="16.5">
      <c r="C2102" s="202"/>
      <c r="D2102" s="202"/>
      <c r="E2102" s="199"/>
      <c r="F2102" s="202"/>
      <c r="G2102" s="202"/>
      <c r="H2102" s="202"/>
      <c r="I2102" s="202"/>
      <c r="O2102" s="202"/>
      <c r="R2102" s="202"/>
    </row>
    <row r="2103" spans="3:18" ht="16.5">
      <c r="C2103" s="202"/>
      <c r="D2103" s="202"/>
      <c r="E2103" s="199"/>
      <c r="F2103" s="202"/>
      <c r="G2103" s="202"/>
      <c r="H2103" s="202"/>
      <c r="I2103" s="202"/>
      <c r="O2103" s="202"/>
      <c r="R2103" s="202"/>
    </row>
    <row r="2104" spans="3:18" ht="16.5">
      <c r="C2104" s="202"/>
      <c r="D2104" s="202"/>
      <c r="E2104" s="199"/>
      <c r="F2104" s="202"/>
      <c r="G2104" s="202"/>
      <c r="H2104" s="202"/>
      <c r="I2104" s="202"/>
      <c r="O2104" s="202"/>
      <c r="R2104" s="202"/>
    </row>
    <row r="2105" spans="3:18" ht="16.5">
      <c r="C2105" s="202"/>
      <c r="D2105" s="202"/>
      <c r="E2105" s="199"/>
      <c r="F2105" s="202"/>
      <c r="G2105" s="202"/>
      <c r="H2105" s="202"/>
      <c r="I2105" s="202"/>
      <c r="O2105" s="202"/>
      <c r="R2105" s="202"/>
    </row>
    <row r="2106" spans="3:18" ht="16.5">
      <c r="C2106" s="202"/>
      <c r="D2106" s="202"/>
      <c r="E2106" s="199"/>
      <c r="F2106" s="202"/>
      <c r="G2106" s="202"/>
      <c r="H2106" s="202"/>
      <c r="I2106" s="202"/>
      <c r="O2106" s="202"/>
      <c r="R2106" s="202"/>
    </row>
    <row r="2107" spans="3:18" ht="16.5">
      <c r="C2107" s="202"/>
      <c r="D2107" s="202"/>
      <c r="E2107" s="199"/>
      <c r="F2107" s="202"/>
      <c r="G2107" s="202"/>
      <c r="H2107" s="202"/>
      <c r="I2107" s="202"/>
      <c r="O2107" s="202"/>
      <c r="R2107" s="202"/>
    </row>
    <row r="2108" spans="3:18" ht="16.5">
      <c r="C2108" s="202"/>
      <c r="D2108" s="202"/>
      <c r="E2108" s="199"/>
      <c r="F2108" s="202"/>
      <c r="G2108" s="202"/>
      <c r="H2108" s="202"/>
      <c r="I2108" s="202"/>
      <c r="O2108" s="202"/>
      <c r="R2108" s="202"/>
    </row>
    <row r="2109" spans="3:18" ht="16.5">
      <c r="C2109" s="202"/>
      <c r="D2109" s="202"/>
      <c r="E2109" s="199"/>
      <c r="F2109" s="202"/>
      <c r="G2109" s="202"/>
      <c r="H2109" s="202"/>
      <c r="I2109" s="202"/>
      <c r="O2109" s="202"/>
      <c r="R2109" s="202"/>
    </row>
    <row r="2110" spans="3:18" ht="16.5">
      <c r="C2110" s="202"/>
      <c r="D2110" s="202"/>
      <c r="E2110" s="199"/>
      <c r="F2110" s="202"/>
      <c r="G2110" s="202"/>
      <c r="H2110" s="202"/>
      <c r="I2110" s="202"/>
      <c r="O2110" s="202"/>
      <c r="R2110" s="202"/>
    </row>
    <row r="2111" spans="3:18" ht="16.5">
      <c r="C2111" s="202"/>
      <c r="D2111" s="202"/>
      <c r="E2111" s="199"/>
      <c r="F2111" s="202"/>
      <c r="G2111" s="202"/>
      <c r="H2111" s="202"/>
      <c r="I2111" s="202"/>
      <c r="O2111" s="202"/>
      <c r="R2111" s="202"/>
    </row>
    <row r="2112" spans="3:18" ht="16.5">
      <c r="C2112" s="202"/>
      <c r="D2112" s="202"/>
      <c r="E2112" s="199"/>
      <c r="F2112" s="202"/>
      <c r="G2112" s="202"/>
      <c r="H2112" s="202"/>
      <c r="I2112" s="202"/>
      <c r="O2112" s="202"/>
      <c r="R2112" s="202"/>
    </row>
    <row r="2113" spans="3:18" ht="16.5">
      <c r="C2113" s="202"/>
      <c r="D2113" s="202"/>
      <c r="E2113" s="199"/>
      <c r="F2113" s="202"/>
      <c r="G2113" s="202"/>
      <c r="H2113" s="202"/>
      <c r="I2113" s="202"/>
      <c r="O2113" s="202"/>
      <c r="R2113" s="202"/>
    </row>
    <row r="2114" spans="3:18" ht="16.5">
      <c r="C2114" s="202"/>
      <c r="D2114" s="202"/>
      <c r="E2114" s="199"/>
      <c r="F2114" s="202"/>
      <c r="G2114" s="202"/>
      <c r="H2114" s="202"/>
      <c r="I2114" s="202"/>
      <c r="O2114" s="202"/>
      <c r="R2114" s="202"/>
    </row>
    <row r="2115" spans="3:18" ht="16.5">
      <c r="C2115" s="202"/>
      <c r="D2115" s="202"/>
      <c r="E2115" s="199"/>
      <c r="F2115" s="202"/>
      <c r="G2115" s="202"/>
      <c r="H2115" s="202"/>
      <c r="I2115" s="202"/>
      <c r="O2115" s="202"/>
      <c r="R2115" s="202"/>
    </row>
    <row r="2116" spans="3:18" ht="16.5">
      <c r="C2116" s="202"/>
      <c r="D2116" s="202"/>
      <c r="E2116" s="199"/>
      <c r="F2116" s="202"/>
      <c r="G2116" s="202"/>
      <c r="H2116" s="202"/>
      <c r="I2116" s="202"/>
      <c r="O2116" s="202"/>
      <c r="R2116" s="202"/>
    </row>
    <row r="2117" spans="3:18" ht="16.5">
      <c r="C2117" s="202"/>
      <c r="D2117" s="202"/>
      <c r="E2117" s="199"/>
      <c r="F2117" s="202"/>
      <c r="G2117" s="202"/>
      <c r="H2117" s="202"/>
      <c r="I2117" s="202"/>
      <c r="O2117" s="202"/>
      <c r="R2117" s="202"/>
    </row>
    <row r="2118" spans="3:18" ht="16.5">
      <c r="C2118" s="202"/>
      <c r="D2118" s="202"/>
      <c r="E2118" s="199"/>
      <c r="F2118" s="202"/>
      <c r="G2118" s="202"/>
      <c r="H2118" s="202"/>
      <c r="I2118" s="202"/>
      <c r="O2118" s="202"/>
      <c r="R2118" s="202"/>
    </row>
    <row r="2119" spans="3:18" ht="16.5">
      <c r="C2119" s="202"/>
      <c r="D2119" s="202"/>
      <c r="E2119" s="199"/>
      <c r="F2119" s="202"/>
      <c r="G2119" s="202"/>
      <c r="H2119" s="202"/>
      <c r="I2119" s="202"/>
      <c r="O2119" s="202"/>
      <c r="R2119" s="202"/>
    </row>
    <row r="2120" spans="3:18" ht="16.5">
      <c r="C2120" s="202"/>
      <c r="D2120" s="202"/>
      <c r="E2120" s="199"/>
      <c r="F2120" s="202"/>
      <c r="G2120" s="202"/>
      <c r="H2120" s="202"/>
      <c r="I2120" s="202"/>
      <c r="O2120" s="202"/>
      <c r="R2120" s="202"/>
    </row>
    <row r="2121" spans="3:18" ht="16.5">
      <c r="C2121" s="202"/>
      <c r="D2121" s="202"/>
      <c r="E2121" s="199"/>
      <c r="F2121" s="202"/>
      <c r="G2121" s="202"/>
      <c r="H2121" s="202"/>
      <c r="I2121" s="202"/>
      <c r="O2121" s="202"/>
      <c r="R2121" s="202"/>
    </row>
    <row r="2122" spans="3:18" ht="16.5">
      <c r="C2122" s="202"/>
      <c r="D2122" s="202"/>
      <c r="E2122" s="199"/>
      <c r="F2122" s="202"/>
      <c r="G2122" s="202"/>
      <c r="H2122" s="202"/>
      <c r="I2122" s="202"/>
      <c r="O2122" s="202"/>
      <c r="R2122" s="202"/>
    </row>
    <row r="2123" spans="3:18" ht="16.5">
      <c r="C2123" s="202"/>
      <c r="D2123" s="202"/>
      <c r="E2123" s="199"/>
      <c r="F2123" s="202"/>
      <c r="G2123" s="202"/>
      <c r="H2123" s="202"/>
      <c r="I2123" s="202"/>
      <c r="O2123" s="202"/>
      <c r="R2123" s="202"/>
    </row>
    <row r="2124" spans="3:18" ht="16.5">
      <c r="C2124" s="202"/>
      <c r="D2124" s="202"/>
      <c r="E2124" s="199"/>
      <c r="F2124" s="202"/>
      <c r="G2124" s="202"/>
      <c r="H2124" s="202"/>
      <c r="I2124" s="202"/>
      <c r="O2124" s="202"/>
      <c r="R2124" s="202"/>
    </row>
    <row r="2125" spans="3:18" ht="16.5">
      <c r="C2125" s="202"/>
      <c r="D2125" s="202"/>
      <c r="E2125" s="199"/>
      <c r="F2125" s="202"/>
      <c r="G2125" s="202"/>
      <c r="H2125" s="202"/>
      <c r="I2125" s="202"/>
      <c r="O2125" s="202"/>
      <c r="R2125" s="202"/>
    </row>
    <row r="2126" spans="3:18" ht="16.5">
      <c r="C2126" s="202"/>
      <c r="D2126" s="202"/>
      <c r="E2126" s="199"/>
      <c r="F2126" s="202"/>
      <c r="G2126" s="202"/>
      <c r="H2126" s="202"/>
      <c r="I2126" s="202"/>
      <c r="O2126" s="202"/>
      <c r="R2126" s="202"/>
    </row>
    <row r="2127" spans="3:18" ht="16.5">
      <c r="C2127" s="202"/>
      <c r="D2127" s="202"/>
      <c r="E2127" s="199"/>
      <c r="F2127" s="202"/>
      <c r="G2127" s="202"/>
      <c r="H2127" s="202"/>
      <c r="I2127" s="202"/>
      <c r="O2127" s="202"/>
      <c r="R2127" s="202"/>
    </row>
    <row r="2128" spans="3:18" ht="16.5">
      <c r="C2128" s="202"/>
      <c r="D2128" s="202"/>
      <c r="E2128" s="199"/>
      <c r="F2128" s="202"/>
      <c r="G2128" s="202"/>
      <c r="H2128" s="202"/>
      <c r="I2128" s="202"/>
      <c r="O2128" s="202"/>
      <c r="R2128" s="202"/>
    </row>
    <row r="2129" spans="3:18" ht="16.5">
      <c r="C2129" s="202"/>
      <c r="D2129" s="202"/>
      <c r="E2129" s="199"/>
      <c r="F2129" s="202"/>
      <c r="G2129" s="202"/>
      <c r="H2129" s="202"/>
      <c r="I2129" s="202"/>
      <c r="O2129" s="202"/>
      <c r="R2129" s="202"/>
    </row>
    <row r="2130" spans="3:18" ht="16.5">
      <c r="C2130" s="202"/>
      <c r="D2130" s="202"/>
      <c r="E2130" s="199"/>
      <c r="F2130" s="202"/>
      <c r="G2130" s="202"/>
      <c r="H2130" s="202"/>
      <c r="I2130" s="202"/>
      <c r="O2130" s="202"/>
      <c r="R2130" s="202"/>
    </row>
    <row r="2131" spans="3:18" ht="16.5">
      <c r="C2131" s="202"/>
      <c r="D2131" s="202"/>
      <c r="E2131" s="199"/>
      <c r="F2131" s="202"/>
      <c r="G2131" s="202"/>
      <c r="H2131" s="202"/>
      <c r="I2131" s="202"/>
      <c r="O2131" s="202"/>
      <c r="R2131" s="202"/>
    </row>
    <row r="2132" spans="3:18" ht="16.5">
      <c r="C2132" s="202"/>
      <c r="D2132" s="202"/>
      <c r="E2132" s="199"/>
      <c r="F2132" s="202"/>
      <c r="G2132" s="202"/>
      <c r="H2132" s="202"/>
      <c r="I2132" s="202"/>
      <c r="O2132" s="202"/>
      <c r="R2132" s="202"/>
    </row>
    <row r="2133" spans="3:18" ht="16.5">
      <c r="C2133" s="202"/>
      <c r="D2133" s="202"/>
      <c r="E2133" s="199"/>
      <c r="F2133" s="202"/>
      <c r="G2133" s="202"/>
      <c r="H2133" s="202"/>
      <c r="I2133" s="202"/>
      <c r="O2133" s="202"/>
      <c r="R2133" s="202"/>
    </row>
    <row r="2134" spans="3:18" ht="16.5">
      <c r="C2134" s="202"/>
      <c r="D2134" s="202"/>
      <c r="E2134" s="199"/>
      <c r="F2134" s="202"/>
      <c r="G2134" s="202"/>
      <c r="H2134" s="202"/>
      <c r="I2134" s="202"/>
      <c r="O2134" s="202"/>
      <c r="R2134" s="202"/>
    </row>
    <row r="2135" spans="3:18" ht="16.5">
      <c r="C2135" s="202"/>
      <c r="D2135" s="202"/>
      <c r="E2135" s="199"/>
      <c r="F2135" s="202"/>
      <c r="G2135" s="202"/>
      <c r="H2135" s="202"/>
      <c r="I2135" s="202"/>
      <c r="O2135" s="202"/>
      <c r="R2135" s="202"/>
    </row>
    <row r="2136" spans="3:18" ht="16.5">
      <c r="C2136" s="202"/>
      <c r="D2136" s="202"/>
      <c r="E2136" s="199"/>
      <c r="F2136" s="202"/>
      <c r="G2136" s="202"/>
      <c r="H2136" s="202"/>
      <c r="I2136" s="202"/>
      <c r="O2136" s="202"/>
      <c r="R2136" s="202"/>
    </row>
    <row r="2137" spans="3:18" ht="16.5">
      <c r="C2137" s="202"/>
      <c r="D2137" s="202"/>
      <c r="E2137" s="199"/>
      <c r="F2137" s="202"/>
      <c r="G2137" s="202"/>
      <c r="H2137" s="202"/>
      <c r="I2137" s="202"/>
      <c r="O2137" s="202"/>
      <c r="R2137" s="202"/>
    </row>
    <row r="2138" spans="3:18" ht="16.5">
      <c r="C2138" s="202"/>
      <c r="D2138" s="202"/>
      <c r="E2138" s="199"/>
      <c r="F2138" s="202"/>
      <c r="G2138" s="202"/>
      <c r="H2138" s="202"/>
      <c r="I2138" s="202"/>
      <c r="O2138" s="202"/>
      <c r="R2138" s="202"/>
    </row>
    <row r="2139" spans="3:18" ht="16.5">
      <c r="C2139" s="202"/>
      <c r="D2139" s="202"/>
      <c r="E2139" s="199"/>
      <c r="F2139" s="202"/>
      <c r="G2139" s="202"/>
      <c r="H2139" s="202"/>
      <c r="I2139" s="202"/>
      <c r="O2139" s="202"/>
      <c r="R2139" s="202"/>
    </row>
    <row r="2140" spans="3:18" ht="16.5">
      <c r="C2140" s="202"/>
      <c r="D2140" s="202"/>
      <c r="E2140" s="199"/>
      <c r="F2140" s="202"/>
      <c r="G2140" s="202"/>
      <c r="H2140" s="202"/>
      <c r="I2140" s="202"/>
      <c r="O2140" s="202"/>
      <c r="R2140" s="202"/>
    </row>
    <row r="2141" spans="3:18" ht="16.5">
      <c r="C2141" s="202"/>
      <c r="D2141" s="202"/>
      <c r="E2141" s="199"/>
      <c r="F2141" s="202"/>
      <c r="G2141" s="202"/>
      <c r="H2141" s="202"/>
      <c r="I2141" s="202"/>
      <c r="O2141" s="202"/>
      <c r="R2141" s="202"/>
    </row>
    <row r="2142" spans="3:18" ht="16.5">
      <c r="C2142" s="202"/>
      <c r="D2142" s="202"/>
      <c r="E2142" s="199"/>
      <c r="F2142" s="202"/>
      <c r="G2142" s="202"/>
      <c r="H2142" s="202"/>
      <c r="I2142" s="202"/>
      <c r="O2142" s="202"/>
      <c r="R2142" s="202"/>
    </row>
    <row r="2143" spans="3:18" ht="16.5">
      <c r="C2143" s="202"/>
      <c r="D2143" s="202"/>
      <c r="E2143" s="199"/>
      <c r="F2143" s="202"/>
      <c r="G2143" s="202"/>
      <c r="H2143" s="202"/>
      <c r="I2143" s="202"/>
      <c r="O2143" s="202"/>
      <c r="R2143" s="202"/>
    </row>
    <row r="2144" spans="3:18" ht="16.5">
      <c r="C2144" s="202"/>
      <c r="D2144" s="202"/>
      <c r="E2144" s="199"/>
      <c r="F2144" s="202"/>
      <c r="G2144" s="202"/>
      <c r="H2144" s="202"/>
      <c r="I2144" s="202"/>
      <c r="O2144" s="202"/>
      <c r="R2144" s="202"/>
    </row>
    <row r="2145" spans="3:18" ht="16.5">
      <c r="C2145" s="202"/>
      <c r="D2145" s="202"/>
      <c r="E2145" s="199"/>
      <c r="F2145" s="202"/>
      <c r="G2145" s="202"/>
      <c r="H2145" s="202"/>
      <c r="I2145" s="202"/>
      <c r="O2145" s="202"/>
      <c r="R2145" s="202"/>
    </row>
    <row r="2146" spans="3:18" ht="16.5">
      <c r="C2146" s="202"/>
      <c r="D2146" s="202"/>
      <c r="E2146" s="199"/>
      <c r="F2146" s="202"/>
      <c r="G2146" s="202"/>
      <c r="H2146" s="202"/>
      <c r="I2146" s="202"/>
      <c r="O2146" s="202"/>
      <c r="R2146" s="202"/>
    </row>
    <row r="2147" spans="3:18" ht="16.5">
      <c r="C2147" s="202"/>
      <c r="D2147" s="202"/>
      <c r="E2147" s="199"/>
      <c r="F2147" s="202"/>
      <c r="G2147" s="202"/>
      <c r="H2147" s="202"/>
      <c r="I2147" s="202"/>
      <c r="O2147" s="202"/>
      <c r="R2147" s="202"/>
    </row>
    <row r="2148" spans="3:18" ht="16.5">
      <c r="C2148" s="202"/>
      <c r="D2148" s="202"/>
      <c r="E2148" s="199"/>
      <c r="F2148" s="202"/>
      <c r="G2148" s="202"/>
      <c r="H2148" s="202"/>
      <c r="I2148" s="202"/>
      <c r="O2148" s="202"/>
      <c r="R2148" s="202"/>
    </row>
    <row r="2149" spans="3:18" ht="16.5">
      <c r="C2149" s="202"/>
      <c r="D2149" s="202"/>
      <c r="E2149" s="199"/>
      <c r="F2149" s="202"/>
      <c r="G2149" s="202"/>
      <c r="H2149" s="202"/>
      <c r="I2149" s="202"/>
      <c r="O2149" s="202"/>
      <c r="R2149" s="202"/>
    </row>
    <row r="2150" spans="3:18" ht="16.5">
      <c r="C2150" s="202"/>
      <c r="D2150" s="202"/>
      <c r="E2150" s="199"/>
      <c r="F2150" s="202"/>
      <c r="G2150" s="202"/>
      <c r="H2150" s="202"/>
      <c r="I2150" s="202"/>
      <c r="O2150" s="202"/>
      <c r="R2150" s="202"/>
    </row>
    <row r="2151" spans="3:18" ht="16.5">
      <c r="C2151" s="202"/>
      <c r="D2151" s="202"/>
      <c r="E2151" s="199"/>
      <c r="F2151" s="202"/>
      <c r="G2151" s="202"/>
      <c r="H2151" s="202"/>
      <c r="I2151" s="202"/>
      <c r="O2151" s="202"/>
      <c r="R2151" s="202"/>
    </row>
    <row r="2152" spans="3:18" ht="16.5">
      <c r="C2152" s="202"/>
      <c r="D2152" s="202"/>
      <c r="E2152" s="199"/>
      <c r="F2152" s="202"/>
      <c r="G2152" s="202"/>
      <c r="H2152" s="202"/>
      <c r="I2152" s="202"/>
      <c r="O2152" s="202"/>
      <c r="R2152" s="202"/>
    </row>
    <row r="2153" spans="3:18" ht="16.5">
      <c r="C2153" s="202"/>
      <c r="D2153" s="202"/>
      <c r="E2153" s="199"/>
      <c r="F2153" s="202"/>
      <c r="G2153" s="202"/>
      <c r="H2153" s="202"/>
      <c r="I2153" s="202"/>
      <c r="O2153" s="202"/>
      <c r="R2153" s="202"/>
    </row>
    <row r="2154" spans="3:18" ht="16.5">
      <c r="C2154" s="202"/>
      <c r="D2154" s="202"/>
      <c r="E2154" s="199"/>
      <c r="F2154" s="202"/>
      <c r="G2154" s="202"/>
      <c r="H2154" s="202"/>
      <c r="I2154" s="202"/>
      <c r="O2154" s="202"/>
      <c r="R2154" s="202"/>
    </row>
    <row r="2155" spans="3:18" ht="16.5">
      <c r="C2155" s="202"/>
      <c r="D2155" s="202"/>
      <c r="E2155" s="199"/>
      <c r="F2155" s="202"/>
      <c r="G2155" s="202"/>
      <c r="H2155" s="202"/>
      <c r="I2155" s="202"/>
      <c r="O2155" s="202"/>
      <c r="R2155" s="202"/>
    </row>
    <row r="2156" spans="3:18" ht="16.5">
      <c r="C2156" s="202"/>
      <c r="D2156" s="202"/>
      <c r="E2156" s="199"/>
      <c r="F2156" s="202"/>
      <c r="G2156" s="202"/>
      <c r="H2156" s="202"/>
      <c r="I2156" s="202"/>
      <c r="O2156" s="202"/>
      <c r="R2156" s="202"/>
    </row>
    <row r="2157" spans="3:18" ht="16.5">
      <c r="C2157" s="202"/>
      <c r="D2157" s="202"/>
      <c r="E2157" s="199"/>
      <c r="F2157" s="202"/>
      <c r="G2157" s="202"/>
      <c r="H2157" s="202"/>
      <c r="I2157" s="202"/>
      <c r="O2157" s="202"/>
      <c r="R2157" s="202"/>
    </row>
    <row r="2158" spans="3:18" ht="16.5">
      <c r="C2158" s="202"/>
      <c r="D2158" s="202"/>
      <c r="E2158" s="199"/>
      <c r="F2158" s="202"/>
      <c r="G2158" s="202"/>
      <c r="H2158" s="202"/>
      <c r="I2158" s="202"/>
      <c r="O2158" s="202"/>
      <c r="R2158" s="202"/>
    </row>
    <row r="2159" spans="3:18" ht="16.5">
      <c r="C2159" s="202"/>
      <c r="D2159" s="202"/>
      <c r="E2159" s="199"/>
      <c r="F2159" s="202"/>
      <c r="G2159" s="202"/>
      <c r="H2159" s="202"/>
      <c r="I2159" s="202"/>
      <c r="O2159" s="202"/>
      <c r="R2159" s="202"/>
    </row>
    <row r="2160" spans="3:18" ht="16.5">
      <c r="C2160" s="202"/>
      <c r="D2160" s="202"/>
      <c r="E2160" s="199"/>
      <c r="F2160" s="202"/>
      <c r="G2160" s="202"/>
      <c r="H2160" s="202"/>
      <c r="I2160" s="202"/>
      <c r="O2160" s="202"/>
      <c r="R2160" s="202"/>
    </row>
    <row r="2161" spans="3:18" ht="16.5">
      <c r="C2161" s="202"/>
      <c r="D2161" s="202"/>
      <c r="E2161" s="199"/>
      <c r="F2161" s="202"/>
      <c r="G2161" s="202"/>
      <c r="H2161" s="202"/>
      <c r="I2161" s="202"/>
      <c r="O2161" s="202"/>
      <c r="R2161" s="202"/>
    </row>
    <row r="2162" spans="3:18" ht="16.5">
      <c r="C2162" s="202"/>
      <c r="D2162" s="202"/>
      <c r="E2162" s="199"/>
      <c r="F2162" s="202"/>
      <c r="G2162" s="202"/>
      <c r="H2162" s="202"/>
      <c r="I2162" s="202"/>
      <c r="O2162" s="202"/>
      <c r="R2162" s="202"/>
    </row>
    <row r="2163" spans="3:18" ht="16.5">
      <c r="C2163" s="202"/>
      <c r="D2163" s="202"/>
      <c r="E2163" s="199"/>
      <c r="F2163" s="202"/>
      <c r="G2163" s="202"/>
      <c r="H2163" s="202"/>
      <c r="I2163" s="202"/>
      <c r="O2163" s="202"/>
      <c r="R2163" s="202"/>
    </row>
    <row r="2164" spans="3:18" ht="16.5">
      <c r="C2164" s="202"/>
      <c r="D2164" s="202"/>
      <c r="E2164" s="199"/>
      <c r="F2164" s="202"/>
      <c r="G2164" s="202"/>
      <c r="H2164" s="202"/>
      <c r="I2164" s="202"/>
      <c r="O2164" s="202"/>
      <c r="R2164" s="202"/>
    </row>
    <row r="2165" spans="3:18" ht="16.5">
      <c r="C2165" s="202"/>
      <c r="D2165" s="202"/>
      <c r="E2165" s="199"/>
      <c r="F2165" s="202"/>
      <c r="G2165" s="202"/>
      <c r="H2165" s="202"/>
      <c r="I2165" s="202"/>
      <c r="O2165" s="202"/>
      <c r="R2165" s="202"/>
    </row>
    <row r="2166" spans="3:18" ht="16.5">
      <c r="C2166" s="202"/>
      <c r="D2166" s="202"/>
      <c r="E2166" s="199"/>
      <c r="F2166" s="202"/>
      <c r="G2166" s="202"/>
      <c r="H2166" s="202"/>
      <c r="I2166" s="202"/>
      <c r="O2166" s="202"/>
      <c r="R2166" s="202"/>
    </row>
    <row r="2167" spans="3:18" ht="16.5">
      <c r="C2167" s="202"/>
      <c r="D2167" s="202"/>
      <c r="E2167" s="199"/>
      <c r="F2167" s="202"/>
      <c r="G2167" s="202"/>
      <c r="H2167" s="202"/>
      <c r="I2167" s="202"/>
      <c r="O2167" s="202"/>
      <c r="R2167" s="202"/>
    </row>
    <row r="2168" spans="3:18" ht="16.5">
      <c r="C2168" s="202"/>
      <c r="D2168" s="202"/>
      <c r="E2168" s="199"/>
      <c r="F2168" s="202"/>
      <c r="G2168" s="202"/>
      <c r="H2168" s="202"/>
      <c r="I2168" s="202"/>
      <c r="O2168" s="202"/>
      <c r="R2168" s="202"/>
    </row>
    <row r="2169" spans="3:18" ht="16.5">
      <c r="C2169" s="202"/>
      <c r="D2169" s="202"/>
      <c r="E2169" s="199"/>
      <c r="F2169" s="202"/>
      <c r="G2169" s="202"/>
      <c r="H2169" s="202"/>
      <c r="I2169" s="202"/>
      <c r="O2169" s="202"/>
      <c r="R2169" s="202"/>
    </row>
    <row r="2170" spans="3:18" ht="16.5">
      <c r="C2170" s="202"/>
      <c r="D2170" s="202"/>
      <c r="E2170" s="199"/>
      <c r="F2170" s="202"/>
      <c r="G2170" s="202"/>
      <c r="H2170" s="202"/>
      <c r="I2170" s="202"/>
      <c r="O2170" s="202"/>
      <c r="R2170" s="202"/>
    </row>
    <row r="2171" spans="3:18" ht="16.5">
      <c r="C2171" s="202"/>
      <c r="D2171" s="202"/>
      <c r="E2171" s="199"/>
      <c r="F2171" s="202"/>
      <c r="G2171" s="202"/>
      <c r="H2171" s="202"/>
      <c r="I2171" s="202"/>
      <c r="O2171" s="202"/>
      <c r="R2171" s="202"/>
    </row>
    <row r="2172" spans="3:18" ht="16.5">
      <c r="C2172" s="202"/>
      <c r="D2172" s="202"/>
      <c r="E2172" s="199"/>
      <c r="F2172" s="202"/>
      <c r="G2172" s="202"/>
      <c r="H2172" s="202"/>
      <c r="I2172" s="202"/>
      <c r="O2172" s="202"/>
      <c r="R2172" s="202"/>
    </row>
    <row r="2173" spans="3:18" ht="16.5">
      <c r="C2173" s="202"/>
      <c r="D2173" s="202"/>
      <c r="E2173" s="199"/>
      <c r="F2173" s="202"/>
      <c r="G2173" s="202"/>
      <c r="H2173" s="202"/>
      <c r="I2173" s="202"/>
      <c r="O2173" s="202"/>
      <c r="R2173" s="202"/>
    </row>
    <row r="2174" spans="3:18" ht="16.5">
      <c r="C2174" s="202"/>
      <c r="D2174" s="202"/>
      <c r="E2174" s="199"/>
      <c r="F2174" s="202"/>
      <c r="G2174" s="202"/>
      <c r="H2174" s="202"/>
      <c r="I2174" s="202"/>
      <c r="O2174" s="202"/>
      <c r="R2174" s="202"/>
    </row>
    <row r="2175" spans="3:18" ht="16.5">
      <c r="C2175" s="202"/>
      <c r="D2175" s="202"/>
      <c r="E2175" s="199"/>
      <c r="F2175" s="202"/>
      <c r="G2175" s="202"/>
      <c r="H2175" s="202"/>
      <c r="I2175" s="202"/>
      <c r="O2175" s="202"/>
      <c r="R2175" s="202"/>
    </row>
    <row r="2176" spans="3:18" ht="16.5">
      <c r="C2176" s="202"/>
      <c r="D2176" s="202"/>
      <c r="E2176" s="199"/>
      <c r="F2176" s="202"/>
      <c r="G2176" s="202"/>
      <c r="H2176" s="202"/>
      <c r="I2176" s="202"/>
      <c r="O2176" s="202"/>
      <c r="R2176" s="202"/>
    </row>
    <row r="2177" spans="3:18" ht="16.5">
      <c r="C2177" s="202"/>
      <c r="D2177" s="202"/>
      <c r="E2177" s="199"/>
      <c r="F2177" s="202"/>
      <c r="G2177" s="202"/>
      <c r="H2177" s="202"/>
      <c r="I2177" s="202"/>
      <c r="O2177" s="202"/>
      <c r="R2177" s="202"/>
    </row>
    <row r="2178" spans="3:18" ht="16.5">
      <c r="C2178" s="202"/>
      <c r="D2178" s="202"/>
      <c r="E2178" s="199"/>
      <c r="F2178" s="202"/>
      <c r="G2178" s="202"/>
      <c r="H2178" s="202"/>
      <c r="I2178" s="202"/>
      <c r="O2178" s="202"/>
      <c r="R2178" s="202"/>
    </row>
    <row r="2179" spans="3:18" ht="16.5">
      <c r="C2179" s="202"/>
      <c r="D2179" s="202"/>
      <c r="E2179" s="199"/>
      <c r="F2179" s="202"/>
      <c r="G2179" s="202"/>
      <c r="H2179" s="202"/>
      <c r="I2179" s="202"/>
      <c r="O2179" s="202"/>
      <c r="R2179" s="202"/>
    </row>
    <row r="2180" spans="3:18" ht="16.5">
      <c r="C2180" s="202"/>
      <c r="D2180" s="202"/>
      <c r="E2180" s="199"/>
      <c r="F2180" s="202"/>
      <c r="G2180" s="202"/>
      <c r="H2180" s="202"/>
      <c r="I2180" s="202"/>
      <c r="O2180" s="202"/>
      <c r="R2180" s="202"/>
    </row>
    <row r="2181" spans="3:18" ht="16.5">
      <c r="C2181" s="202"/>
      <c r="D2181" s="202"/>
      <c r="E2181" s="199"/>
      <c r="F2181" s="202"/>
      <c r="G2181" s="202"/>
      <c r="H2181" s="202"/>
      <c r="I2181" s="202"/>
      <c r="O2181" s="202"/>
      <c r="R2181" s="202"/>
    </row>
    <row r="2182" spans="3:18" ht="16.5">
      <c r="C2182" s="202"/>
      <c r="D2182" s="202"/>
      <c r="E2182" s="199"/>
      <c r="F2182" s="202"/>
      <c r="G2182" s="202"/>
      <c r="H2182" s="202"/>
      <c r="I2182" s="202"/>
      <c r="O2182" s="202"/>
      <c r="R2182" s="202"/>
    </row>
    <row r="2183" spans="3:18" ht="16.5">
      <c r="C2183" s="202"/>
      <c r="D2183" s="202"/>
      <c r="E2183" s="199"/>
      <c r="F2183" s="202"/>
      <c r="G2183" s="202"/>
      <c r="H2183" s="202"/>
      <c r="I2183" s="202"/>
      <c r="O2183" s="202"/>
      <c r="R2183" s="202"/>
    </row>
    <row r="2184" spans="3:18" ht="16.5">
      <c r="C2184" s="202"/>
      <c r="D2184" s="202"/>
      <c r="E2184" s="199"/>
      <c r="F2184" s="202"/>
      <c r="G2184" s="202"/>
      <c r="H2184" s="202"/>
      <c r="I2184" s="202"/>
      <c r="O2184" s="202"/>
      <c r="R2184" s="202"/>
    </row>
    <row r="2185" spans="3:18" ht="16.5">
      <c r="C2185" s="202"/>
      <c r="D2185" s="202"/>
      <c r="E2185" s="199"/>
      <c r="F2185" s="202"/>
      <c r="G2185" s="202"/>
      <c r="H2185" s="202"/>
      <c r="I2185" s="202"/>
      <c r="O2185" s="202"/>
      <c r="R2185" s="202"/>
    </row>
    <row r="2186" spans="3:18" ht="16.5">
      <c r="C2186" s="202"/>
      <c r="D2186" s="202"/>
      <c r="E2186" s="199"/>
      <c r="F2186" s="202"/>
      <c r="G2186" s="202"/>
      <c r="H2186" s="202"/>
      <c r="I2186" s="202"/>
      <c r="O2186" s="202"/>
      <c r="R2186" s="202"/>
    </row>
    <row r="2187" spans="3:18" ht="16.5">
      <c r="C2187" s="202"/>
      <c r="D2187" s="202"/>
      <c r="E2187" s="199"/>
      <c r="F2187" s="202"/>
      <c r="G2187" s="202"/>
      <c r="H2187" s="202"/>
      <c r="I2187" s="202"/>
      <c r="O2187" s="202"/>
      <c r="R2187" s="202"/>
    </row>
    <row r="2188" spans="3:18" ht="16.5">
      <c r="C2188" s="202"/>
      <c r="D2188" s="202"/>
      <c r="E2188" s="199"/>
      <c r="F2188" s="202"/>
      <c r="G2188" s="202"/>
      <c r="H2188" s="202"/>
      <c r="I2188" s="202"/>
      <c r="O2188" s="202"/>
      <c r="R2188" s="202"/>
    </row>
    <row r="2189" spans="3:18" ht="16.5">
      <c r="C2189" s="202"/>
      <c r="D2189" s="202"/>
      <c r="E2189" s="199"/>
      <c r="F2189" s="202"/>
      <c r="G2189" s="202"/>
      <c r="H2189" s="202"/>
      <c r="I2189" s="202"/>
      <c r="O2189" s="202"/>
      <c r="R2189" s="202"/>
    </row>
    <row r="2190" spans="3:18" ht="16.5">
      <c r="C2190" s="202"/>
      <c r="D2190" s="202"/>
      <c r="E2190" s="199"/>
      <c r="F2190" s="202"/>
      <c r="G2190" s="202"/>
      <c r="H2190" s="202"/>
      <c r="I2190" s="202"/>
      <c r="O2190" s="202"/>
      <c r="R2190" s="202"/>
    </row>
    <row r="2191" spans="3:18" ht="16.5">
      <c r="C2191" s="202"/>
      <c r="D2191" s="202"/>
      <c r="E2191" s="199"/>
      <c r="F2191" s="202"/>
      <c r="G2191" s="202"/>
      <c r="H2191" s="202"/>
      <c r="I2191" s="202"/>
      <c r="O2191" s="202"/>
      <c r="R2191" s="202"/>
    </row>
    <row r="2192" spans="3:18" ht="16.5">
      <c r="C2192" s="202"/>
      <c r="D2192" s="202"/>
      <c r="E2192" s="199"/>
      <c r="F2192" s="202"/>
      <c r="G2192" s="202"/>
      <c r="H2192" s="202"/>
      <c r="I2192" s="202"/>
      <c r="O2192" s="202"/>
      <c r="R2192" s="202"/>
    </row>
    <row r="2193" spans="3:18" ht="16.5">
      <c r="C2193" s="202"/>
      <c r="D2193" s="202"/>
      <c r="E2193" s="199"/>
      <c r="F2193" s="202"/>
      <c r="G2193" s="202"/>
      <c r="H2193" s="202"/>
      <c r="I2193" s="202"/>
      <c r="O2193" s="202"/>
      <c r="R2193" s="202"/>
    </row>
    <row r="2194" spans="3:18" ht="16.5">
      <c r="C2194" s="202"/>
      <c r="D2194" s="202"/>
      <c r="E2194" s="199"/>
      <c r="F2194" s="202"/>
      <c r="G2194" s="202"/>
      <c r="H2194" s="202"/>
      <c r="I2194" s="202"/>
      <c r="O2194" s="202"/>
      <c r="R2194" s="202"/>
    </row>
    <row r="2195" spans="3:18" ht="16.5">
      <c r="C2195" s="202"/>
      <c r="D2195" s="202"/>
      <c r="E2195" s="199"/>
      <c r="F2195" s="202"/>
      <c r="G2195" s="202"/>
      <c r="H2195" s="202"/>
      <c r="I2195" s="202"/>
      <c r="O2195" s="202"/>
      <c r="R2195" s="202"/>
    </row>
    <row r="2196" spans="3:18" ht="16.5">
      <c r="C2196" s="202"/>
      <c r="D2196" s="202"/>
      <c r="E2196" s="199"/>
      <c r="F2196" s="202"/>
      <c r="G2196" s="202"/>
      <c r="H2196" s="202"/>
      <c r="I2196" s="202"/>
      <c r="O2196" s="202"/>
      <c r="R2196" s="202"/>
    </row>
    <row r="2197" spans="3:18" ht="16.5">
      <c r="C2197" s="202"/>
      <c r="D2197" s="202"/>
      <c r="E2197" s="199"/>
      <c r="F2197" s="202"/>
      <c r="G2197" s="202"/>
      <c r="H2197" s="202"/>
      <c r="I2197" s="202"/>
      <c r="O2197" s="202"/>
      <c r="R2197" s="202"/>
    </row>
    <row r="2198" spans="3:18" ht="16.5">
      <c r="C2198" s="202"/>
      <c r="D2198" s="202"/>
      <c r="E2198" s="199"/>
      <c r="F2198" s="202"/>
      <c r="G2198" s="202"/>
      <c r="H2198" s="202"/>
      <c r="I2198" s="202"/>
      <c r="O2198" s="202"/>
      <c r="R2198" s="202"/>
    </row>
    <row r="2199" spans="3:18" ht="16.5">
      <c r="C2199" s="202"/>
      <c r="D2199" s="202"/>
      <c r="E2199" s="199"/>
      <c r="F2199" s="202"/>
      <c r="G2199" s="202"/>
      <c r="H2199" s="202"/>
      <c r="I2199" s="202"/>
      <c r="O2199" s="202"/>
      <c r="R2199" s="202"/>
    </row>
    <row r="2200" spans="3:18" ht="16.5">
      <c r="C2200" s="202"/>
      <c r="D2200" s="202"/>
      <c r="E2200" s="199"/>
      <c r="F2200" s="202"/>
      <c r="G2200" s="202"/>
      <c r="H2200" s="202"/>
      <c r="I2200" s="202"/>
      <c r="O2200" s="202"/>
      <c r="R2200" s="202"/>
    </row>
    <row r="2201" spans="3:18" ht="16.5">
      <c r="C2201" s="202"/>
      <c r="D2201" s="202"/>
      <c r="E2201" s="199"/>
      <c r="F2201" s="202"/>
      <c r="G2201" s="202"/>
      <c r="H2201" s="202"/>
      <c r="I2201" s="202"/>
      <c r="O2201" s="202"/>
      <c r="R2201" s="202"/>
    </row>
    <row r="2202" spans="3:18" ht="16.5">
      <c r="C2202" s="202"/>
      <c r="D2202" s="202"/>
      <c r="E2202" s="199"/>
      <c r="F2202" s="202"/>
      <c r="G2202" s="202"/>
      <c r="H2202" s="202"/>
      <c r="I2202" s="202"/>
      <c r="O2202" s="202"/>
      <c r="R2202" s="202"/>
    </row>
    <row r="2203" spans="3:18" ht="16.5">
      <c r="C2203" s="202"/>
      <c r="D2203" s="202"/>
      <c r="E2203" s="199"/>
      <c r="F2203" s="202"/>
      <c r="G2203" s="202"/>
      <c r="H2203" s="202"/>
      <c r="I2203" s="202"/>
      <c r="O2203" s="202"/>
      <c r="R2203" s="202"/>
    </row>
    <row r="2204" spans="3:18" ht="16.5">
      <c r="C2204" s="202"/>
      <c r="D2204" s="202"/>
      <c r="E2204" s="199"/>
      <c r="F2204" s="202"/>
      <c r="G2204" s="202"/>
      <c r="H2204" s="202"/>
      <c r="I2204" s="202"/>
      <c r="O2204" s="202"/>
      <c r="R2204" s="202"/>
    </row>
    <row r="2205" spans="3:18" ht="16.5">
      <c r="C2205" s="202"/>
      <c r="D2205" s="202"/>
      <c r="E2205" s="199"/>
      <c r="F2205" s="202"/>
      <c r="G2205" s="202"/>
      <c r="H2205" s="202"/>
      <c r="I2205" s="202"/>
      <c r="O2205" s="202"/>
      <c r="R2205" s="202"/>
    </row>
    <row r="2206" spans="3:18" ht="16.5">
      <c r="C2206" s="202"/>
      <c r="D2206" s="202"/>
      <c r="E2206" s="199"/>
      <c r="F2206" s="202"/>
      <c r="G2206" s="202"/>
      <c r="H2206" s="202"/>
      <c r="I2206" s="202"/>
      <c r="O2206" s="202"/>
      <c r="R2206" s="202"/>
    </row>
    <row r="2207" spans="3:18" ht="16.5">
      <c r="C2207" s="202"/>
      <c r="D2207" s="202"/>
      <c r="E2207" s="199"/>
      <c r="F2207" s="202"/>
      <c r="G2207" s="202"/>
      <c r="H2207" s="202"/>
      <c r="I2207" s="202"/>
      <c r="O2207" s="202"/>
      <c r="R2207" s="202"/>
    </row>
    <row r="2208" spans="3:18" ht="16.5">
      <c r="C2208" s="202"/>
      <c r="D2208" s="202"/>
      <c r="E2208" s="199"/>
      <c r="F2208" s="202"/>
      <c r="G2208" s="202"/>
      <c r="H2208" s="202"/>
      <c r="I2208" s="202"/>
      <c r="O2208" s="202"/>
      <c r="R2208" s="202"/>
    </row>
    <row r="2209" spans="3:18" ht="16.5">
      <c r="C2209" s="202"/>
      <c r="D2209" s="202"/>
      <c r="E2209" s="199"/>
      <c r="F2209" s="202"/>
      <c r="G2209" s="202"/>
      <c r="H2209" s="202"/>
      <c r="I2209" s="202"/>
      <c r="O2209" s="202"/>
      <c r="R2209" s="202"/>
    </row>
    <row r="2210" spans="3:18" ht="16.5">
      <c r="C2210" s="202"/>
      <c r="D2210" s="202"/>
      <c r="E2210" s="199"/>
      <c r="F2210" s="202"/>
      <c r="G2210" s="202"/>
      <c r="H2210" s="202"/>
      <c r="I2210" s="202"/>
      <c r="O2210" s="202"/>
      <c r="R2210" s="202"/>
    </row>
    <row r="2211" spans="3:18" ht="16.5">
      <c r="C2211" s="202"/>
      <c r="D2211" s="202"/>
      <c r="E2211" s="199"/>
      <c r="F2211" s="202"/>
      <c r="G2211" s="202"/>
      <c r="H2211" s="202"/>
      <c r="I2211" s="202"/>
      <c r="O2211" s="202"/>
      <c r="R2211" s="202"/>
    </row>
    <row r="2212" spans="3:18" ht="16.5">
      <c r="C2212" s="202"/>
      <c r="D2212" s="202"/>
      <c r="E2212" s="199"/>
      <c r="F2212" s="202"/>
      <c r="G2212" s="202"/>
      <c r="H2212" s="202"/>
      <c r="I2212" s="202"/>
      <c r="O2212" s="202"/>
      <c r="R2212" s="202"/>
    </row>
    <row r="2213" spans="3:18" ht="16.5">
      <c r="C2213" s="202"/>
      <c r="D2213" s="202"/>
      <c r="E2213" s="199"/>
      <c r="F2213" s="202"/>
      <c r="G2213" s="202"/>
      <c r="H2213" s="202"/>
      <c r="I2213" s="202"/>
      <c r="O2213" s="202"/>
      <c r="R2213" s="202"/>
    </row>
    <row r="2214" spans="3:18" ht="16.5">
      <c r="C2214" s="202"/>
      <c r="D2214" s="202"/>
      <c r="E2214" s="199"/>
      <c r="F2214" s="202"/>
      <c r="G2214" s="202"/>
      <c r="H2214" s="202"/>
      <c r="I2214" s="202"/>
      <c r="O2214" s="202"/>
      <c r="R2214" s="202"/>
    </row>
    <row r="2215" spans="3:18" ht="16.5">
      <c r="C2215" s="202"/>
      <c r="D2215" s="202"/>
      <c r="E2215" s="199"/>
      <c r="F2215" s="202"/>
      <c r="G2215" s="202"/>
      <c r="H2215" s="202"/>
      <c r="I2215" s="202"/>
      <c r="O2215" s="202"/>
      <c r="R2215" s="202"/>
    </row>
    <row r="2216" spans="3:18" ht="16.5">
      <c r="C2216" s="202"/>
      <c r="D2216" s="202"/>
      <c r="E2216" s="199"/>
      <c r="F2216" s="202"/>
      <c r="G2216" s="202"/>
      <c r="H2216" s="202"/>
      <c r="I2216" s="202"/>
      <c r="O2216" s="202"/>
      <c r="R2216" s="202"/>
    </row>
    <row r="2217" spans="3:18" ht="16.5">
      <c r="C2217" s="202"/>
      <c r="D2217" s="202"/>
      <c r="E2217" s="199"/>
      <c r="F2217" s="202"/>
      <c r="G2217" s="202"/>
      <c r="H2217" s="202"/>
      <c r="I2217" s="202"/>
      <c r="O2217" s="202"/>
      <c r="R2217" s="202"/>
    </row>
    <row r="2218" spans="3:18" ht="16.5">
      <c r="C2218" s="202"/>
      <c r="D2218" s="202"/>
      <c r="E2218" s="199"/>
      <c r="F2218" s="202"/>
      <c r="G2218" s="202"/>
      <c r="H2218" s="202"/>
      <c r="I2218" s="202"/>
      <c r="O2218" s="202"/>
      <c r="R2218" s="202"/>
    </row>
    <row r="2219" spans="3:18" ht="16.5">
      <c r="C2219" s="202"/>
      <c r="D2219" s="202"/>
      <c r="E2219" s="199"/>
      <c r="F2219" s="202"/>
      <c r="G2219" s="202"/>
      <c r="H2219" s="202"/>
      <c r="I2219" s="202"/>
      <c r="O2219" s="202"/>
      <c r="R2219" s="202"/>
    </row>
    <row r="2220" spans="3:18" ht="16.5">
      <c r="C2220" s="202"/>
      <c r="D2220" s="202"/>
      <c r="E2220" s="199"/>
      <c r="F2220" s="202"/>
      <c r="G2220" s="202"/>
      <c r="H2220" s="202"/>
      <c r="I2220" s="202"/>
      <c r="O2220" s="202"/>
      <c r="R2220" s="202"/>
    </row>
    <row r="2221" spans="3:18" ht="16.5">
      <c r="C2221" s="202"/>
      <c r="D2221" s="202"/>
      <c r="E2221" s="199"/>
      <c r="F2221" s="202"/>
      <c r="G2221" s="202"/>
      <c r="H2221" s="202"/>
      <c r="I2221" s="202"/>
      <c r="O2221" s="202"/>
      <c r="R2221" s="202"/>
    </row>
    <row r="2222" spans="3:18" ht="16.5">
      <c r="C2222" s="202"/>
      <c r="D2222" s="202"/>
      <c r="E2222" s="199"/>
      <c r="F2222" s="202"/>
      <c r="G2222" s="202"/>
      <c r="H2222" s="202"/>
      <c r="I2222" s="202"/>
      <c r="O2222" s="202"/>
      <c r="R2222" s="202"/>
    </row>
    <row r="2223" spans="3:18" ht="16.5">
      <c r="C2223" s="202"/>
      <c r="D2223" s="202"/>
      <c r="E2223" s="199"/>
      <c r="F2223" s="202"/>
      <c r="G2223" s="202"/>
      <c r="H2223" s="202"/>
      <c r="I2223" s="202"/>
      <c r="O2223" s="202"/>
      <c r="R2223" s="202"/>
    </row>
    <row r="2224" spans="3:18" ht="16.5">
      <c r="C2224" s="202"/>
      <c r="D2224" s="202"/>
      <c r="E2224" s="199"/>
      <c r="F2224" s="202"/>
      <c r="G2224" s="202"/>
      <c r="H2224" s="202"/>
      <c r="I2224" s="202"/>
      <c r="O2224" s="202"/>
      <c r="R2224" s="202"/>
    </row>
    <row r="2225" spans="3:18" ht="16.5">
      <c r="C2225" s="202"/>
      <c r="D2225" s="202"/>
      <c r="E2225" s="199"/>
      <c r="F2225" s="202"/>
      <c r="G2225" s="202"/>
      <c r="H2225" s="202"/>
      <c r="I2225" s="202"/>
      <c r="O2225" s="202"/>
      <c r="R2225" s="202"/>
    </row>
    <row r="2226" spans="3:18" ht="16.5">
      <c r="C2226" s="202"/>
      <c r="D2226" s="202"/>
      <c r="E2226" s="199"/>
      <c r="F2226" s="202"/>
      <c r="G2226" s="202"/>
      <c r="H2226" s="202"/>
      <c r="I2226" s="202"/>
      <c r="O2226" s="202"/>
      <c r="R2226" s="202"/>
    </row>
    <row r="2227" spans="3:18" ht="16.5">
      <c r="C2227" s="202"/>
      <c r="D2227" s="202"/>
      <c r="E2227" s="199"/>
      <c r="F2227" s="202"/>
      <c r="G2227" s="202"/>
      <c r="H2227" s="202"/>
      <c r="I2227" s="202"/>
      <c r="O2227" s="202"/>
      <c r="R2227" s="202"/>
    </row>
    <row r="2228" spans="3:18" ht="16.5">
      <c r="C2228" s="202"/>
      <c r="D2228" s="202"/>
      <c r="E2228" s="199"/>
      <c r="F2228" s="202"/>
      <c r="G2228" s="202"/>
      <c r="H2228" s="202"/>
      <c r="I2228" s="202"/>
      <c r="O2228" s="202"/>
      <c r="R2228" s="202"/>
    </row>
    <row r="2229" spans="3:18" ht="16.5">
      <c r="C2229" s="202"/>
      <c r="D2229" s="202"/>
      <c r="E2229" s="199"/>
      <c r="F2229" s="202"/>
      <c r="G2229" s="202"/>
      <c r="H2229" s="202"/>
      <c r="I2229" s="202"/>
      <c r="O2229" s="202"/>
      <c r="R2229" s="202"/>
    </row>
    <row r="2230" spans="3:18" ht="16.5">
      <c r="C2230" s="202"/>
      <c r="D2230" s="202"/>
      <c r="E2230" s="199"/>
      <c r="F2230" s="202"/>
      <c r="G2230" s="202"/>
      <c r="H2230" s="202"/>
      <c r="I2230" s="202"/>
      <c r="O2230" s="202"/>
      <c r="R2230" s="202"/>
    </row>
    <row r="2231" spans="3:18" ht="16.5">
      <c r="C2231" s="202"/>
      <c r="D2231" s="202"/>
      <c r="E2231" s="199"/>
      <c r="F2231" s="202"/>
      <c r="G2231" s="202"/>
      <c r="H2231" s="202"/>
      <c r="I2231" s="202"/>
      <c r="O2231" s="202"/>
      <c r="R2231" s="202"/>
    </row>
    <row r="2232" spans="3:18" ht="16.5">
      <c r="C2232" s="202"/>
      <c r="D2232" s="202"/>
      <c r="E2232" s="199"/>
      <c r="F2232" s="202"/>
      <c r="G2232" s="202"/>
      <c r="H2232" s="202"/>
      <c r="I2232" s="202"/>
      <c r="O2232" s="202"/>
      <c r="R2232" s="202"/>
    </row>
    <row r="2233" spans="3:18" ht="16.5">
      <c r="C2233" s="202"/>
      <c r="D2233" s="202"/>
      <c r="E2233" s="199"/>
      <c r="F2233" s="202"/>
      <c r="G2233" s="202"/>
      <c r="H2233" s="202"/>
      <c r="I2233" s="202"/>
      <c r="O2233" s="202"/>
      <c r="R2233" s="202"/>
    </row>
    <row r="2234" spans="3:18" ht="16.5">
      <c r="C2234" s="202"/>
      <c r="D2234" s="202"/>
      <c r="E2234" s="199"/>
      <c r="F2234" s="202"/>
      <c r="G2234" s="202"/>
      <c r="H2234" s="202"/>
      <c r="I2234" s="202"/>
      <c r="O2234" s="202"/>
      <c r="R2234" s="202"/>
    </row>
    <row r="2235" spans="3:18" ht="16.5">
      <c r="C2235" s="202"/>
      <c r="D2235" s="202"/>
      <c r="E2235" s="199"/>
      <c r="F2235" s="202"/>
      <c r="G2235" s="202"/>
      <c r="H2235" s="202"/>
      <c r="I2235" s="202"/>
      <c r="O2235" s="202"/>
      <c r="R2235" s="202"/>
    </row>
    <row r="2236" spans="3:18" ht="16.5">
      <c r="C2236" s="202"/>
      <c r="D2236" s="202"/>
      <c r="E2236" s="199"/>
      <c r="F2236" s="202"/>
      <c r="G2236" s="202"/>
      <c r="H2236" s="202"/>
      <c r="I2236" s="202"/>
      <c r="O2236" s="202"/>
      <c r="R2236" s="202"/>
    </row>
    <row r="2237" spans="3:18" ht="16.5">
      <c r="C2237" s="202"/>
      <c r="D2237" s="202"/>
      <c r="E2237" s="199"/>
      <c r="F2237" s="202"/>
      <c r="G2237" s="202"/>
      <c r="H2237" s="202"/>
      <c r="I2237" s="202"/>
      <c r="O2237" s="202"/>
      <c r="R2237" s="202"/>
    </row>
    <row r="2238" spans="3:18" ht="16.5">
      <c r="C2238" s="202"/>
      <c r="D2238" s="202"/>
      <c r="E2238" s="199"/>
      <c r="F2238" s="202"/>
      <c r="G2238" s="202"/>
      <c r="H2238" s="202"/>
      <c r="I2238" s="202"/>
      <c r="O2238" s="202"/>
      <c r="R2238" s="202"/>
    </row>
    <row r="2239" spans="3:18" ht="16.5">
      <c r="C2239" s="202"/>
      <c r="D2239" s="202"/>
      <c r="E2239" s="199"/>
      <c r="F2239" s="202"/>
      <c r="G2239" s="202"/>
      <c r="H2239" s="202"/>
      <c r="I2239" s="202"/>
      <c r="O2239" s="202"/>
      <c r="R2239" s="202"/>
    </row>
    <row r="2240" spans="3:18" ht="16.5">
      <c r="C2240" s="202"/>
      <c r="D2240" s="202"/>
      <c r="E2240" s="199"/>
      <c r="F2240" s="202"/>
      <c r="G2240" s="202"/>
      <c r="H2240" s="202"/>
      <c r="I2240" s="202"/>
      <c r="O2240" s="202"/>
      <c r="R2240" s="202"/>
    </row>
    <row r="2241" spans="3:18" ht="16.5">
      <c r="C2241" s="202"/>
      <c r="D2241" s="202"/>
      <c r="E2241" s="199"/>
      <c r="F2241" s="202"/>
      <c r="G2241" s="202"/>
      <c r="H2241" s="202"/>
      <c r="I2241" s="202"/>
      <c r="O2241" s="202"/>
      <c r="R2241" s="202"/>
    </row>
    <row r="2242" spans="3:18" ht="16.5">
      <c r="C2242" s="202"/>
      <c r="D2242" s="202"/>
      <c r="E2242" s="199"/>
      <c r="F2242" s="202"/>
      <c r="G2242" s="202"/>
      <c r="H2242" s="202"/>
      <c r="I2242" s="202"/>
      <c r="O2242" s="202"/>
      <c r="R2242" s="202"/>
    </row>
    <row r="2243" spans="3:18" ht="16.5">
      <c r="C2243" s="202"/>
      <c r="D2243" s="202"/>
      <c r="E2243" s="199"/>
      <c r="F2243" s="202"/>
      <c r="G2243" s="202"/>
      <c r="H2243" s="202"/>
      <c r="I2243" s="202"/>
      <c r="O2243" s="202"/>
      <c r="R2243" s="202"/>
    </row>
    <row r="2244" spans="3:18" ht="16.5">
      <c r="C2244" s="202"/>
      <c r="D2244" s="202"/>
      <c r="E2244" s="199"/>
      <c r="F2244" s="202"/>
      <c r="G2244" s="202"/>
      <c r="H2244" s="202"/>
      <c r="I2244" s="202"/>
      <c r="O2244" s="202"/>
      <c r="R2244" s="202"/>
    </row>
    <row r="2245" spans="3:18" ht="16.5">
      <c r="C2245" s="202"/>
      <c r="D2245" s="202"/>
      <c r="E2245" s="199"/>
      <c r="F2245" s="202"/>
      <c r="G2245" s="202"/>
      <c r="H2245" s="202"/>
      <c r="I2245" s="202"/>
      <c r="O2245" s="202"/>
      <c r="R2245" s="202"/>
    </row>
    <row r="2246" spans="3:18" ht="16.5">
      <c r="C2246" s="202"/>
      <c r="D2246" s="202"/>
      <c r="E2246" s="199"/>
      <c r="F2246" s="202"/>
      <c r="G2246" s="202"/>
      <c r="H2246" s="202"/>
      <c r="I2246" s="202"/>
      <c r="O2246" s="202"/>
      <c r="R2246" s="202"/>
    </row>
    <row r="2247" spans="3:18" ht="16.5">
      <c r="C2247" s="202"/>
      <c r="D2247" s="202"/>
      <c r="E2247" s="199"/>
      <c r="F2247" s="202"/>
      <c r="G2247" s="202"/>
      <c r="H2247" s="202"/>
      <c r="I2247" s="202"/>
      <c r="O2247" s="202"/>
      <c r="R2247" s="202"/>
    </row>
    <row r="2248" spans="3:18" ht="16.5">
      <c r="C2248" s="202"/>
      <c r="D2248" s="202"/>
      <c r="E2248" s="199"/>
      <c r="F2248" s="202"/>
      <c r="G2248" s="202"/>
      <c r="H2248" s="202"/>
      <c r="I2248" s="202"/>
      <c r="O2248" s="202"/>
      <c r="R2248" s="202"/>
    </row>
    <row r="2249" spans="3:18" ht="16.5">
      <c r="C2249" s="202"/>
      <c r="D2249" s="202"/>
      <c r="E2249" s="199"/>
      <c r="F2249" s="202"/>
      <c r="G2249" s="202"/>
      <c r="H2249" s="202"/>
      <c r="I2249" s="202"/>
      <c r="O2249" s="202"/>
      <c r="R2249" s="202"/>
    </row>
    <row r="2250" spans="3:18" ht="16.5">
      <c r="C2250" s="202"/>
      <c r="D2250" s="202"/>
      <c r="E2250" s="199"/>
      <c r="F2250" s="202"/>
      <c r="G2250" s="202"/>
      <c r="H2250" s="202"/>
      <c r="I2250" s="202"/>
      <c r="O2250" s="202"/>
      <c r="R2250" s="202"/>
    </row>
    <row r="2251" spans="3:18" ht="16.5">
      <c r="C2251" s="202"/>
      <c r="D2251" s="202"/>
      <c r="E2251" s="199"/>
      <c r="F2251" s="202"/>
      <c r="G2251" s="202"/>
      <c r="H2251" s="202"/>
      <c r="I2251" s="202"/>
      <c r="O2251" s="202"/>
      <c r="R2251" s="202"/>
    </row>
    <row r="2252" spans="3:18" ht="16.5">
      <c r="C2252" s="202"/>
      <c r="D2252" s="202"/>
      <c r="E2252" s="199"/>
      <c r="F2252" s="202"/>
      <c r="G2252" s="202"/>
      <c r="H2252" s="202"/>
      <c r="I2252" s="202"/>
      <c r="O2252" s="202"/>
      <c r="R2252" s="202"/>
    </row>
    <row r="2253" spans="3:18" ht="16.5">
      <c r="C2253" s="202"/>
      <c r="D2253" s="202"/>
      <c r="E2253" s="199"/>
      <c r="F2253" s="202"/>
      <c r="G2253" s="202"/>
      <c r="H2253" s="202"/>
      <c r="I2253" s="202"/>
      <c r="O2253" s="202"/>
      <c r="R2253" s="202"/>
    </row>
    <row r="2254" spans="3:18" ht="16.5">
      <c r="C2254" s="202"/>
      <c r="D2254" s="202"/>
      <c r="E2254" s="199"/>
      <c r="F2254" s="202"/>
      <c r="G2254" s="202"/>
      <c r="H2254" s="202"/>
      <c r="I2254" s="202"/>
      <c r="O2254" s="202"/>
      <c r="R2254" s="202"/>
    </row>
    <row r="2255" spans="3:18" ht="16.5">
      <c r="C2255" s="202"/>
      <c r="D2255" s="202"/>
      <c r="E2255" s="199"/>
      <c r="F2255" s="202"/>
      <c r="G2255" s="202"/>
      <c r="H2255" s="202"/>
      <c r="I2255" s="202"/>
      <c r="O2255" s="202"/>
      <c r="R2255" s="202"/>
    </row>
    <row r="2256" spans="3:18" ht="16.5">
      <c r="C2256" s="202"/>
      <c r="D2256" s="202"/>
      <c r="E2256" s="199"/>
      <c r="F2256" s="202"/>
      <c r="G2256" s="202"/>
      <c r="H2256" s="202"/>
      <c r="I2256" s="202"/>
      <c r="O2256" s="202"/>
      <c r="R2256" s="202"/>
    </row>
    <row r="2257" spans="3:18" ht="16.5">
      <c r="C2257" s="202"/>
      <c r="D2257" s="202"/>
      <c r="E2257" s="199"/>
      <c r="F2257" s="202"/>
      <c r="G2257" s="202"/>
      <c r="H2257" s="202"/>
      <c r="I2257" s="202"/>
      <c r="O2257" s="202"/>
      <c r="R2257" s="202"/>
    </row>
    <row r="2258" spans="3:18" ht="16.5">
      <c r="C2258" s="202"/>
      <c r="D2258" s="202"/>
      <c r="E2258" s="199"/>
      <c r="F2258" s="202"/>
      <c r="G2258" s="202"/>
      <c r="H2258" s="202"/>
      <c r="I2258" s="202"/>
      <c r="O2258" s="202"/>
      <c r="R2258" s="202"/>
    </row>
    <row r="2259" spans="3:18" ht="16.5">
      <c r="C2259" s="202"/>
      <c r="D2259" s="202"/>
      <c r="E2259" s="199"/>
      <c r="F2259" s="202"/>
      <c r="G2259" s="202"/>
      <c r="H2259" s="202"/>
      <c r="I2259" s="202"/>
      <c r="O2259" s="202"/>
      <c r="R2259" s="202"/>
    </row>
    <row r="2260" spans="3:18" ht="16.5">
      <c r="C2260" s="202"/>
      <c r="D2260" s="202"/>
      <c r="E2260" s="199"/>
      <c r="F2260" s="202"/>
      <c r="G2260" s="202"/>
      <c r="H2260" s="202"/>
      <c r="I2260" s="202"/>
      <c r="O2260" s="202"/>
      <c r="R2260" s="202"/>
    </row>
    <row r="2261" spans="3:18" ht="16.5">
      <c r="C2261" s="202"/>
      <c r="D2261" s="202"/>
      <c r="E2261" s="199"/>
      <c r="F2261" s="202"/>
      <c r="G2261" s="202"/>
      <c r="H2261" s="202"/>
      <c r="I2261" s="202"/>
      <c r="O2261" s="202"/>
      <c r="R2261" s="202"/>
    </row>
    <row r="2262" spans="3:18" ht="16.5">
      <c r="C2262" s="202"/>
      <c r="D2262" s="202"/>
      <c r="E2262" s="199"/>
      <c r="F2262" s="202"/>
      <c r="G2262" s="202"/>
      <c r="H2262" s="202"/>
      <c r="I2262" s="202"/>
      <c r="O2262" s="202"/>
      <c r="R2262" s="202"/>
    </row>
    <row r="2263" spans="3:18" ht="16.5">
      <c r="C2263" s="202"/>
      <c r="D2263" s="202"/>
      <c r="E2263" s="199"/>
      <c r="F2263" s="202"/>
      <c r="G2263" s="202"/>
      <c r="H2263" s="202"/>
      <c r="I2263" s="202"/>
      <c r="O2263" s="202"/>
      <c r="R2263" s="202"/>
    </row>
    <row r="2264" spans="3:18" ht="16.5">
      <c r="C2264" s="202"/>
      <c r="D2264" s="202"/>
      <c r="E2264" s="199"/>
      <c r="F2264" s="202"/>
      <c r="G2264" s="202"/>
      <c r="H2264" s="202"/>
      <c r="I2264" s="202"/>
      <c r="O2264" s="202"/>
      <c r="R2264" s="202"/>
    </row>
    <row r="2265" spans="3:18" ht="16.5">
      <c r="C2265" s="202"/>
      <c r="D2265" s="202"/>
      <c r="E2265" s="199"/>
      <c r="F2265" s="202"/>
      <c r="G2265" s="202"/>
      <c r="H2265" s="202"/>
      <c r="I2265" s="202"/>
      <c r="O2265" s="202"/>
      <c r="R2265" s="202"/>
    </row>
    <row r="2266" spans="3:18" ht="16.5">
      <c r="C2266" s="202"/>
      <c r="D2266" s="202"/>
      <c r="E2266" s="199"/>
      <c r="F2266" s="202"/>
      <c r="G2266" s="202"/>
      <c r="H2266" s="202"/>
      <c r="I2266" s="202"/>
      <c r="O2266" s="202"/>
      <c r="R2266" s="202"/>
    </row>
    <row r="2267" spans="3:18" ht="16.5">
      <c r="C2267" s="202"/>
      <c r="D2267" s="202"/>
      <c r="E2267" s="199"/>
      <c r="F2267" s="202"/>
      <c r="G2267" s="202"/>
      <c r="H2267" s="202"/>
      <c r="I2267" s="202"/>
      <c r="O2267" s="202"/>
      <c r="R2267" s="202"/>
    </row>
    <row r="2268" spans="3:18" ht="16.5">
      <c r="C2268" s="202"/>
      <c r="D2268" s="202"/>
      <c r="E2268" s="199"/>
      <c r="F2268" s="202"/>
      <c r="G2268" s="202"/>
      <c r="H2268" s="202"/>
      <c r="I2268" s="202"/>
      <c r="O2268" s="202"/>
      <c r="R2268" s="202"/>
    </row>
    <row r="2269" spans="3:18" ht="16.5">
      <c r="C2269" s="202"/>
      <c r="D2269" s="202"/>
      <c r="E2269" s="199"/>
      <c r="F2269" s="202"/>
      <c r="G2269" s="202"/>
      <c r="H2269" s="202"/>
      <c r="I2269" s="202"/>
      <c r="O2269" s="202"/>
      <c r="R2269" s="202"/>
    </row>
    <row r="2270" spans="3:18" ht="16.5">
      <c r="C2270" s="202"/>
      <c r="D2270" s="202"/>
      <c r="E2270" s="199"/>
      <c r="F2270" s="202"/>
      <c r="G2270" s="202"/>
      <c r="H2270" s="202"/>
      <c r="I2270" s="202"/>
      <c r="O2270" s="202"/>
      <c r="R2270" s="202"/>
    </row>
    <row r="2271" spans="3:18" ht="16.5">
      <c r="C2271" s="202"/>
      <c r="D2271" s="202"/>
      <c r="E2271" s="199"/>
      <c r="F2271" s="202"/>
      <c r="G2271" s="202"/>
      <c r="H2271" s="202"/>
      <c r="I2271" s="202"/>
      <c r="O2271" s="202"/>
      <c r="R2271" s="202"/>
    </row>
    <row r="2272" spans="3:18" ht="16.5">
      <c r="C2272" s="202"/>
      <c r="D2272" s="202"/>
      <c r="E2272" s="199"/>
      <c r="F2272" s="202"/>
      <c r="G2272" s="202"/>
      <c r="H2272" s="202"/>
      <c r="I2272" s="202"/>
      <c r="O2272" s="202"/>
      <c r="R2272" s="202"/>
    </row>
    <row r="2273" spans="3:18" ht="16.5">
      <c r="C2273" s="202"/>
      <c r="D2273" s="202"/>
      <c r="E2273" s="199"/>
      <c r="F2273" s="202"/>
      <c r="G2273" s="202"/>
      <c r="H2273" s="202"/>
      <c r="I2273" s="202"/>
      <c r="O2273" s="202"/>
      <c r="R2273" s="202"/>
    </row>
    <row r="2274" spans="3:18" ht="16.5">
      <c r="C2274" s="202"/>
      <c r="D2274" s="202"/>
      <c r="E2274" s="199"/>
      <c r="F2274" s="202"/>
      <c r="G2274" s="202"/>
      <c r="H2274" s="202"/>
      <c r="I2274" s="202"/>
      <c r="O2274" s="202"/>
      <c r="R2274" s="202"/>
    </row>
    <row r="2275" spans="3:18" ht="16.5">
      <c r="C2275" s="202"/>
      <c r="D2275" s="202"/>
      <c r="E2275" s="199"/>
      <c r="F2275" s="202"/>
      <c r="G2275" s="202"/>
      <c r="H2275" s="202"/>
      <c r="I2275" s="202"/>
      <c r="O2275" s="202"/>
      <c r="R2275" s="202"/>
    </row>
    <row r="2276" spans="3:18" ht="16.5">
      <c r="C2276" s="202"/>
      <c r="D2276" s="202"/>
      <c r="E2276" s="199"/>
      <c r="F2276" s="202"/>
      <c r="G2276" s="202"/>
      <c r="H2276" s="202"/>
      <c r="I2276" s="202"/>
      <c r="O2276" s="202"/>
      <c r="R2276" s="202"/>
    </row>
    <row r="2277" spans="3:18" ht="16.5">
      <c r="C2277" s="202"/>
      <c r="D2277" s="202"/>
      <c r="E2277" s="199"/>
      <c r="F2277" s="202"/>
      <c r="G2277" s="202"/>
      <c r="H2277" s="202"/>
      <c r="I2277" s="202"/>
      <c r="O2277" s="202"/>
      <c r="R2277" s="202"/>
    </row>
    <row r="2278" spans="3:18" ht="16.5">
      <c r="C2278" s="202"/>
      <c r="D2278" s="202"/>
      <c r="E2278" s="199"/>
      <c r="F2278" s="202"/>
      <c r="G2278" s="202"/>
      <c r="H2278" s="202"/>
      <c r="I2278" s="202"/>
      <c r="O2278" s="202"/>
      <c r="R2278" s="202"/>
    </row>
    <row r="2279" spans="3:18" ht="16.5">
      <c r="C2279" s="202"/>
      <c r="D2279" s="202"/>
      <c r="E2279" s="199"/>
      <c r="F2279" s="202"/>
      <c r="G2279" s="202"/>
      <c r="H2279" s="202"/>
      <c r="I2279" s="202"/>
      <c r="O2279" s="202"/>
      <c r="R2279" s="202"/>
    </row>
    <row r="2280" spans="3:18" ht="16.5">
      <c r="C2280" s="202"/>
      <c r="D2280" s="202"/>
      <c r="E2280" s="199"/>
      <c r="F2280" s="202"/>
      <c r="G2280" s="202"/>
      <c r="H2280" s="202"/>
      <c r="I2280" s="202"/>
      <c r="O2280" s="202"/>
      <c r="R2280" s="202"/>
    </row>
    <row r="2281" spans="3:18" ht="16.5">
      <c r="C2281" s="202"/>
      <c r="D2281" s="202"/>
      <c r="E2281" s="199"/>
      <c r="F2281" s="202"/>
      <c r="G2281" s="202"/>
      <c r="H2281" s="202"/>
      <c r="I2281" s="202"/>
      <c r="O2281" s="202"/>
      <c r="R2281" s="202"/>
    </row>
    <row r="2282" spans="3:18" ht="16.5">
      <c r="C2282" s="202"/>
      <c r="D2282" s="202"/>
      <c r="E2282" s="199"/>
      <c r="F2282" s="202"/>
      <c r="G2282" s="202"/>
      <c r="H2282" s="202"/>
      <c r="I2282" s="202"/>
      <c r="O2282" s="202"/>
      <c r="R2282" s="202"/>
    </row>
    <row r="2283" spans="3:18" ht="16.5">
      <c r="C2283" s="202"/>
      <c r="D2283" s="202"/>
      <c r="E2283" s="199"/>
      <c r="F2283" s="202"/>
      <c r="G2283" s="202"/>
      <c r="H2283" s="202"/>
      <c r="I2283" s="202"/>
      <c r="O2283" s="202"/>
      <c r="R2283" s="202"/>
    </row>
    <row r="2284" spans="3:18" ht="16.5">
      <c r="C2284" s="202"/>
      <c r="D2284" s="202"/>
      <c r="E2284" s="199"/>
      <c r="F2284" s="202"/>
      <c r="G2284" s="202"/>
      <c r="H2284" s="202"/>
      <c r="I2284" s="202"/>
      <c r="O2284" s="202"/>
      <c r="R2284" s="202"/>
    </row>
    <row r="2285" spans="3:18" ht="16.5">
      <c r="C2285" s="202"/>
      <c r="D2285" s="202"/>
      <c r="E2285" s="199"/>
      <c r="F2285" s="202"/>
      <c r="G2285" s="202"/>
      <c r="H2285" s="202"/>
      <c r="I2285" s="202"/>
      <c r="O2285" s="202"/>
      <c r="R2285" s="202"/>
    </row>
    <row r="2286" spans="3:18" ht="16.5">
      <c r="C2286" s="202"/>
      <c r="D2286" s="202"/>
      <c r="E2286" s="199"/>
      <c r="F2286" s="202"/>
      <c r="G2286" s="202"/>
      <c r="H2286" s="202"/>
      <c r="I2286" s="202"/>
      <c r="O2286" s="202"/>
      <c r="R2286" s="202"/>
    </row>
    <row r="2287" spans="3:18" ht="16.5">
      <c r="C2287" s="202"/>
      <c r="D2287" s="202"/>
      <c r="E2287" s="199"/>
      <c r="F2287" s="202"/>
      <c r="G2287" s="202"/>
      <c r="H2287" s="202"/>
      <c r="I2287" s="202"/>
      <c r="O2287" s="202"/>
      <c r="R2287" s="202"/>
    </row>
    <row r="2288" spans="3:18" ht="16.5">
      <c r="C2288" s="202"/>
      <c r="D2288" s="202"/>
      <c r="E2288" s="199"/>
      <c r="F2288" s="202"/>
      <c r="G2288" s="202"/>
      <c r="H2288" s="202"/>
      <c r="I2288" s="202"/>
      <c r="O2288" s="202"/>
      <c r="R2288" s="202"/>
    </row>
    <row r="2289" spans="3:18" ht="16.5">
      <c r="C2289" s="202"/>
      <c r="D2289" s="202"/>
      <c r="E2289" s="199"/>
      <c r="F2289" s="202"/>
      <c r="G2289" s="202"/>
      <c r="H2289" s="202"/>
      <c r="I2289" s="202"/>
      <c r="O2289" s="202"/>
      <c r="R2289" s="202"/>
    </row>
    <row r="2290" spans="3:18" ht="16.5">
      <c r="C2290" s="202"/>
      <c r="D2290" s="202"/>
      <c r="E2290" s="199"/>
      <c r="F2290" s="202"/>
      <c r="G2290" s="202"/>
      <c r="H2290" s="202"/>
      <c r="I2290" s="202"/>
      <c r="O2290" s="202"/>
      <c r="R2290" s="202"/>
    </row>
    <row r="2291" spans="3:18" ht="16.5">
      <c r="C2291" s="202"/>
      <c r="D2291" s="202"/>
      <c r="E2291" s="199"/>
      <c r="F2291" s="202"/>
      <c r="G2291" s="202"/>
      <c r="H2291" s="202"/>
      <c r="I2291" s="202"/>
      <c r="O2291" s="202"/>
      <c r="R2291" s="202"/>
    </row>
    <row r="2292" spans="3:18" ht="16.5">
      <c r="C2292" s="202"/>
      <c r="D2292" s="202"/>
      <c r="E2292" s="199"/>
      <c r="F2292" s="202"/>
      <c r="G2292" s="202"/>
      <c r="H2292" s="202"/>
      <c r="I2292" s="202"/>
      <c r="O2292" s="202"/>
      <c r="R2292" s="202"/>
    </row>
    <row r="2293" spans="3:18" ht="16.5">
      <c r="C2293" s="202"/>
      <c r="D2293" s="202"/>
      <c r="E2293" s="199"/>
      <c r="F2293" s="202"/>
      <c r="G2293" s="202"/>
      <c r="H2293" s="202"/>
      <c r="I2293" s="202"/>
      <c r="O2293" s="202"/>
      <c r="R2293" s="202"/>
    </row>
    <row r="2294" spans="3:18" ht="16.5">
      <c r="C2294" s="202"/>
      <c r="D2294" s="202"/>
      <c r="E2294" s="199"/>
      <c r="F2294" s="202"/>
      <c r="G2294" s="202"/>
      <c r="H2294" s="202"/>
      <c r="I2294" s="202"/>
      <c r="O2294" s="202"/>
      <c r="R2294" s="202"/>
    </row>
    <row r="2295" spans="3:18" ht="16.5">
      <c r="C2295" s="202"/>
      <c r="D2295" s="202"/>
      <c r="E2295" s="199"/>
      <c r="F2295" s="202"/>
      <c r="G2295" s="202"/>
      <c r="H2295" s="202"/>
      <c r="I2295" s="202"/>
      <c r="O2295" s="202"/>
      <c r="R2295" s="202"/>
    </row>
    <row r="2296" spans="3:18" ht="16.5">
      <c r="C2296" s="202"/>
      <c r="D2296" s="202"/>
      <c r="E2296" s="199"/>
      <c r="F2296" s="202"/>
      <c r="G2296" s="202"/>
      <c r="H2296" s="202"/>
      <c r="I2296" s="202"/>
      <c r="O2296" s="202"/>
      <c r="R2296" s="202"/>
    </row>
    <row r="2297" spans="3:18" ht="16.5">
      <c r="C2297" s="202"/>
      <c r="D2297" s="202"/>
      <c r="E2297" s="199"/>
      <c r="F2297" s="202"/>
      <c r="G2297" s="202"/>
      <c r="H2297" s="202"/>
      <c r="I2297" s="202"/>
      <c r="O2297" s="202"/>
      <c r="R2297" s="202"/>
    </row>
    <row r="2298" spans="3:18" ht="16.5">
      <c r="C2298" s="202"/>
      <c r="D2298" s="202"/>
      <c r="E2298" s="199"/>
      <c r="F2298" s="202"/>
      <c r="G2298" s="202"/>
      <c r="H2298" s="202"/>
      <c r="I2298" s="202"/>
      <c r="O2298" s="202"/>
      <c r="R2298" s="202"/>
    </row>
    <row r="2299" spans="3:18" ht="16.5">
      <c r="C2299" s="202"/>
      <c r="D2299" s="202"/>
      <c r="E2299" s="199"/>
      <c r="F2299" s="202"/>
      <c r="G2299" s="202"/>
      <c r="H2299" s="202"/>
      <c r="I2299" s="202"/>
      <c r="O2299" s="202"/>
      <c r="R2299" s="202"/>
    </row>
    <row r="2300" spans="3:18" ht="16.5">
      <c r="C2300" s="202"/>
      <c r="D2300" s="202"/>
      <c r="E2300" s="199"/>
      <c r="F2300" s="202"/>
      <c r="G2300" s="202"/>
      <c r="H2300" s="202"/>
      <c r="I2300" s="202"/>
      <c r="O2300" s="202"/>
      <c r="R2300" s="202"/>
    </row>
    <row r="2301" spans="3:18" ht="16.5">
      <c r="C2301" s="202"/>
      <c r="D2301" s="202"/>
      <c r="E2301" s="199"/>
      <c r="F2301" s="202"/>
      <c r="G2301" s="202"/>
      <c r="H2301" s="202"/>
      <c r="I2301" s="202"/>
      <c r="O2301" s="202"/>
      <c r="R2301" s="202"/>
    </row>
    <row r="2302" spans="3:18" ht="16.5">
      <c r="C2302" s="202"/>
      <c r="D2302" s="202"/>
      <c r="E2302" s="199"/>
      <c r="F2302" s="202"/>
      <c r="G2302" s="202"/>
      <c r="H2302" s="202"/>
      <c r="I2302" s="202"/>
      <c r="O2302" s="202"/>
      <c r="R2302" s="202"/>
    </row>
    <row r="2303" spans="3:18" ht="16.5">
      <c r="C2303" s="202"/>
      <c r="D2303" s="202"/>
      <c r="E2303" s="199"/>
      <c r="F2303" s="202"/>
      <c r="G2303" s="202"/>
      <c r="H2303" s="202"/>
      <c r="I2303" s="202"/>
      <c r="O2303" s="202"/>
      <c r="R2303" s="202"/>
    </row>
    <row r="2304" spans="3:18" ht="16.5">
      <c r="C2304" s="202"/>
      <c r="D2304" s="202"/>
      <c r="E2304" s="199"/>
      <c r="F2304" s="202"/>
      <c r="G2304" s="202"/>
      <c r="H2304" s="202"/>
      <c r="I2304" s="202"/>
      <c r="O2304" s="202"/>
      <c r="R2304" s="202"/>
    </row>
    <row r="2305" spans="3:18" ht="16.5">
      <c r="C2305" s="202"/>
      <c r="D2305" s="202"/>
      <c r="E2305" s="199"/>
      <c r="F2305" s="202"/>
      <c r="G2305" s="202"/>
      <c r="H2305" s="202"/>
      <c r="I2305" s="202"/>
      <c r="O2305" s="202"/>
      <c r="R2305" s="202"/>
    </row>
    <row r="2306" spans="3:18" ht="16.5">
      <c r="C2306" s="202"/>
      <c r="D2306" s="202"/>
      <c r="E2306" s="199"/>
      <c r="F2306" s="202"/>
      <c r="G2306" s="202"/>
      <c r="H2306" s="202"/>
      <c r="I2306" s="202"/>
      <c r="O2306" s="202"/>
      <c r="R2306" s="202"/>
    </row>
    <row r="2307" spans="3:18" ht="16.5">
      <c r="C2307" s="202"/>
      <c r="D2307" s="202"/>
      <c r="E2307" s="199"/>
      <c r="F2307" s="202"/>
      <c r="G2307" s="202"/>
      <c r="H2307" s="202"/>
      <c r="I2307" s="202"/>
      <c r="O2307" s="202"/>
      <c r="R2307" s="202"/>
    </row>
    <row r="2308" spans="3:18" ht="16.5">
      <c r="C2308" s="202"/>
      <c r="D2308" s="202"/>
      <c r="E2308" s="199"/>
      <c r="F2308" s="202"/>
      <c r="G2308" s="202"/>
      <c r="H2308" s="202"/>
      <c r="I2308" s="202"/>
      <c r="O2308" s="202"/>
      <c r="R2308" s="202"/>
    </row>
    <row r="2309" spans="3:18" ht="16.5">
      <c r="C2309" s="202"/>
      <c r="D2309" s="202"/>
      <c r="E2309" s="199"/>
      <c r="F2309" s="202"/>
      <c r="G2309" s="202"/>
      <c r="H2309" s="202"/>
      <c r="I2309" s="202"/>
      <c r="O2309" s="202"/>
      <c r="R2309" s="202"/>
    </row>
    <row r="2310" spans="3:18" ht="16.5">
      <c r="C2310" s="202"/>
      <c r="D2310" s="202"/>
      <c r="E2310" s="199"/>
      <c r="F2310" s="202"/>
      <c r="G2310" s="202"/>
      <c r="H2310" s="202"/>
      <c r="I2310" s="202"/>
      <c r="O2310" s="202"/>
      <c r="R2310" s="202"/>
    </row>
    <row r="2311" spans="3:18" ht="16.5">
      <c r="C2311" s="202"/>
      <c r="D2311" s="202"/>
      <c r="E2311" s="199"/>
      <c r="F2311" s="202"/>
      <c r="G2311" s="202"/>
      <c r="H2311" s="202"/>
      <c r="I2311" s="202"/>
      <c r="O2311" s="202"/>
      <c r="R2311" s="202"/>
    </row>
    <row r="2312" spans="3:18" ht="16.5">
      <c r="C2312" s="202"/>
      <c r="D2312" s="202"/>
      <c r="E2312" s="199"/>
      <c r="F2312" s="202"/>
      <c r="G2312" s="202"/>
      <c r="H2312" s="202"/>
      <c r="I2312" s="202"/>
      <c r="O2312" s="202"/>
      <c r="R2312" s="202"/>
    </row>
    <row r="2313" spans="3:18" ht="16.5">
      <c r="C2313" s="202"/>
      <c r="D2313" s="202"/>
      <c r="E2313" s="199"/>
      <c r="F2313" s="202"/>
      <c r="G2313" s="202"/>
      <c r="H2313" s="202"/>
      <c r="I2313" s="202"/>
      <c r="O2313" s="202"/>
      <c r="R2313" s="202"/>
    </row>
    <row r="2314" spans="3:18" ht="16.5">
      <c r="C2314" s="202"/>
      <c r="D2314" s="202"/>
      <c r="E2314" s="199"/>
      <c r="F2314" s="202"/>
      <c r="G2314" s="202"/>
      <c r="H2314" s="202"/>
      <c r="I2314" s="202"/>
      <c r="O2314" s="202"/>
      <c r="R2314" s="202"/>
    </row>
    <row r="2315" spans="3:18" ht="16.5">
      <c r="C2315" s="202"/>
      <c r="D2315" s="202"/>
      <c r="E2315" s="199"/>
      <c r="F2315" s="202"/>
      <c r="G2315" s="202"/>
      <c r="H2315" s="202"/>
      <c r="I2315" s="202"/>
      <c r="O2315" s="202"/>
      <c r="R2315" s="202"/>
    </row>
    <row r="2316" spans="3:18" ht="16.5">
      <c r="C2316" s="202"/>
      <c r="D2316" s="202"/>
      <c r="E2316" s="199"/>
      <c r="F2316" s="202"/>
      <c r="G2316" s="202"/>
      <c r="H2316" s="202"/>
      <c r="I2316" s="202"/>
      <c r="O2316" s="202"/>
      <c r="R2316" s="202"/>
    </row>
    <row r="2317" spans="3:18" ht="16.5">
      <c r="C2317" s="202"/>
      <c r="D2317" s="202"/>
      <c r="E2317" s="199"/>
      <c r="F2317" s="202"/>
      <c r="G2317" s="202"/>
      <c r="H2317" s="202"/>
      <c r="I2317" s="202"/>
      <c r="O2317" s="202"/>
      <c r="R2317" s="202"/>
    </row>
    <row r="2318" spans="3:18" ht="16.5">
      <c r="C2318" s="202"/>
      <c r="D2318" s="202"/>
      <c r="E2318" s="199"/>
      <c r="F2318" s="202"/>
      <c r="G2318" s="202"/>
      <c r="H2318" s="202"/>
      <c r="I2318" s="202"/>
      <c r="O2318" s="202"/>
      <c r="R2318" s="202"/>
    </row>
    <row r="2319" spans="3:18" ht="16.5">
      <c r="C2319" s="202"/>
      <c r="D2319" s="202"/>
      <c r="E2319" s="199"/>
      <c r="F2319" s="202"/>
      <c r="G2319" s="202"/>
      <c r="H2319" s="202"/>
      <c r="I2319" s="202"/>
      <c r="O2319" s="202"/>
      <c r="R2319" s="202"/>
    </row>
    <row r="2320" spans="3:18" ht="16.5">
      <c r="C2320" s="202"/>
      <c r="D2320" s="202"/>
      <c r="E2320" s="199"/>
      <c r="F2320" s="202"/>
      <c r="G2320" s="202"/>
      <c r="H2320" s="202"/>
      <c r="I2320" s="202"/>
      <c r="O2320" s="202"/>
      <c r="R2320" s="202"/>
    </row>
    <row r="2321" spans="3:18" ht="16.5">
      <c r="C2321" s="202"/>
      <c r="D2321" s="202"/>
      <c r="E2321" s="199"/>
      <c r="F2321" s="202"/>
      <c r="G2321" s="202"/>
      <c r="H2321" s="202"/>
      <c r="I2321" s="202"/>
      <c r="O2321" s="202"/>
      <c r="R2321" s="202"/>
    </row>
    <row r="2322" spans="3:18" ht="16.5">
      <c r="C2322" s="202"/>
      <c r="D2322" s="202"/>
      <c r="E2322" s="199"/>
      <c r="F2322" s="202"/>
      <c r="G2322" s="202"/>
      <c r="H2322" s="202"/>
      <c r="I2322" s="202"/>
      <c r="O2322" s="202"/>
      <c r="R2322" s="202"/>
    </row>
    <row r="2323" spans="3:18" ht="16.5">
      <c r="C2323" s="202"/>
      <c r="D2323" s="202"/>
      <c r="E2323" s="199"/>
      <c r="F2323" s="202"/>
      <c r="G2323" s="202"/>
      <c r="H2323" s="202"/>
      <c r="I2323" s="202"/>
      <c r="O2323" s="202"/>
      <c r="R2323" s="202"/>
    </row>
    <row r="2324" spans="3:18" ht="16.5">
      <c r="C2324" s="202"/>
      <c r="D2324" s="202"/>
      <c r="E2324" s="199"/>
      <c r="F2324" s="202"/>
      <c r="G2324" s="202"/>
      <c r="H2324" s="202"/>
      <c r="I2324" s="202"/>
      <c r="O2324" s="202"/>
      <c r="R2324" s="202"/>
    </row>
    <row r="2325" spans="3:18" ht="16.5">
      <c r="C2325" s="202"/>
      <c r="D2325" s="202"/>
      <c r="E2325" s="199"/>
      <c r="F2325" s="202"/>
      <c r="G2325" s="202"/>
      <c r="H2325" s="202"/>
      <c r="I2325" s="202"/>
      <c r="O2325" s="202"/>
      <c r="R2325" s="202"/>
    </row>
    <row r="2326" spans="3:18" ht="16.5">
      <c r="C2326" s="202"/>
      <c r="D2326" s="202"/>
      <c r="E2326" s="199"/>
      <c r="F2326" s="202"/>
      <c r="G2326" s="202"/>
      <c r="H2326" s="202"/>
      <c r="I2326" s="202"/>
      <c r="O2326" s="202"/>
      <c r="R2326" s="202"/>
    </row>
    <row r="2327" spans="3:18" ht="16.5">
      <c r="C2327" s="202"/>
      <c r="D2327" s="202"/>
      <c r="E2327" s="199"/>
      <c r="F2327" s="202"/>
      <c r="G2327" s="202"/>
      <c r="H2327" s="202"/>
      <c r="I2327" s="202"/>
      <c r="O2327" s="202"/>
      <c r="R2327" s="202"/>
    </row>
    <row r="2328" spans="3:18" ht="16.5">
      <c r="C2328" s="202"/>
      <c r="D2328" s="202"/>
      <c r="E2328" s="199"/>
      <c r="F2328" s="202"/>
      <c r="G2328" s="202"/>
      <c r="H2328" s="202"/>
      <c r="I2328" s="202"/>
      <c r="O2328" s="202"/>
      <c r="R2328" s="202"/>
    </row>
    <row r="2329" spans="3:18" ht="16.5">
      <c r="C2329" s="202"/>
      <c r="D2329" s="202"/>
      <c r="E2329" s="199"/>
      <c r="F2329" s="202"/>
      <c r="G2329" s="202"/>
      <c r="H2329" s="202"/>
      <c r="I2329" s="202"/>
      <c r="O2329" s="202"/>
      <c r="R2329" s="202"/>
    </row>
    <row r="2330" spans="3:18" ht="16.5">
      <c r="C2330" s="202"/>
      <c r="D2330" s="202"/>
      <c r="E2330" s="199"/>
      <c r="F2330" s="202"/>
      <c r="G2330" s="202"/>
      <c r="H2330" s="202"/>
      <c r="I2330" s="202"/>
      <c r="O2330" s="202"/>
      <c r="R2330" s="202"/>
    </row>
    <row r="2331" spans="3:18" ht="16.5">
      <c r="C2331" s="202"/>
      <c r="D2331" s="202"/>
      <c r="E2331" s="199"/>
      <c r="F2331" s="202"/>
      <c r="G2331" s="202"/>
      <c r="H2331" s="202"/>
      <c r="I2331" s="202"/>
      <c r="O2331" s="202"/>
      <c r="R2331" s="202"/>
    </row>
    <row r="2332" spans="3:18" ht="16.5">
      <c r="C2332" s="202"/>
      <c r="D2332" s="202"/>
      <c r="E2332" s="199"/>
      <c r="F2332" s="202"/>
      <c r="G2332" s="202"/>
      <c r="H2332" s="202"/>
      <c r="I2332" s="202"/>
      <c r="O2332" s="202"/>
      <c r="R2332" s="202"/>
    </row>
    <row r="2333" spans="3:18" ht="16.5">
      <c r="C2333" s="202"/>
      <c r="D2333" s="202"/>
      <c r="E2333" s="199"/>
      <c r="F2333" s="202"/>
      <c r="G2333" s="202"/>
      <c r="H2333" s="202"/>
      <c r="I2333" s="202"/>
      <c r="O2333" s="202"/>
      <c r="R2333" s="202"/>
    </row>
    <row r="2334" spans="3:18" ht="16.5">
      <c r="C2334" s="202"/>
      <c r="D2334" s="202"/>
      <c r="E2334" s="199"/>
      <c r="F2334" s="202"/>
      <c r="G2334" s="202"/>
      <c r="H2334" s="202"/>
      <c r="I2334" s="202"/>
      <c r="O2334" s="202"/>
      <c r="R2334" s="202"/>
    </row>
    <row r="2335" spans="3:18" ht="16.5">
      <c r="C2335" s="202"/>
      <c r="D2335" s="202"/>
      <c r="E2335" s="199"/>
      <c r="F2335" s="202"/>
      <c r="G2335" s="202"/>
      <c r="H2335" s="202"/>
      <c r="I2335" s="202"/>
      <c r="O2335" s="202"/>
      <c r="R2335" s="202"/>
    </row>
    <row r="2336" spans="3:18" ht="16.5">
      <c r="C2336" s="202"/>
      <c r="D2336" s="202"/>
      <c r="E2336" s="199"/>
      <c r="F2336" s="202"/>
      <c r="G2336" s="202"/>
      <c r="H2336" s="202"/>
      <c r="I2336" s="202"/>
      <c r="O2336" s="202"/>
      <c r="R2336" s="202"/>
    </row>
    <row r="2337" spans="3:18" ht="16.5">
      <c r="C2337" s="202"/>
      <c r="D2337" s="202"/>
      <c r="E2337" s="199"/>
      <c r="F2337" s="202"/>
      <c r="G2337" s="202"/>
      <c r="H2337" s="202"/>
      <c r="I2337" s="202"/>
      <c r="O2337" s="202"/>
      <c r="R2337" s="202"/>
    </row>
    <row r="2338" spans="3:18" ht="16.5">
      <c r="C2338" s="202"/>
      <c r="D2338" s="202"/>
      <c r="E2338" s="199"/>
      <c r="F2338" s="202"/>
      <c r="G2338" s="202"/>
      <c r="H2338" s="202"/>
      <c r="I2338" s="202"/>
      <c r="O2338" s="202"/>
      <c r="R2338" s="202"/>
    </row>
    <row r="2339" spans="3:18" ht="16.5">
      <c r="C2339" s="202"/>
      <c r="D2339" s="202"/>
      <c r="E2339" s="199"/>
      <c r="F2339" s="202"/>
      <c r="G2339" s="202"/>
      <c r="H2339" s="202"/>
      <c r="I2339" s="202"/>
      <c r="O2339" s="202"/>
      <c r="R2339" s="202"/>
    </row>
    <row r="2340" spans="3:18" ht="16.5">
      <c r="C2340" s="202"/>
      <c r="D2340" s="202"/>
      <c r="E2340" s="199"/>
      <c r="F2340" s="202"/>
      <c r="G2340" s="202"/>
      <c r="H2340" s="202"/>
      <c r="I2340" s="202"/>
      <c r="O2340" s="202"/>
      <c r="R2340" s="202"/>
    </row>
    <row r="2341" spans="3:18" ht="16.5">
      <c r="C2341" s="202"/>
      <c r="D2341" s="202"/>
      <c r="E2341" s="199"/>
      <c r="F2341" s="202"/>
      <c r="G2341" s="202"/>
      <c r="H2341" s="202"/>
      <c r="I2341" s="202"/>
      <c r="O2341" s="202"/>
      <c r="R2341" s="202"/>
    </row>
    <row r="2342" spans="3:18" ht="16.5">
      <c r="C2342" s="202"/>
      <c r="D2342" s="202"/>
      <c r="E2342" s="199"/>
      <c r="F2342" s="202"/>
      <c r="G2342" s="202"/>
      <c r="H2342" s="202"/>
      <c r="I2342" s="202"/>
      <c r="O2342" s="202"/>
      <c r="R2342" s="202"/>
    </row>
    <row r="2343" spans="3:18" ht="16.5">
      <c r="C2343" s="202"/>
      <c r="D2343" s="202"/>
      <c r="E2343" s="199"/>
      <c r="F2343" s="202"/>
      <c r="G2343" s="202"/>
      <c r="H2343" s="202"/>
      <c r="I2343" s="202"/>
      <c r="O2343" s="202"/>
      <c r="R2343" s="202"/>
    </row>
    <row r="2344" spans="3:18" ht="16.5">
      <c r="C2344" s="202"/>
      <c r="D2344" s="202"/>
      <c r="E2344" s="199"/>
      <c r="F2344" s="202"/>
      <c r="G2344" s="202"/>
      <c r="H2344" s="202"/>
      <c r="I2344" s="202"/>
      <c r="O2344" s="202"/>
      <c r="R2344" s="202"/>
    </row>
    <row r="2345" spans="3:18" ht="16.5">
      <c r="C2345" s="202"/>
      <c r="D2345" s="202"/>
      <c r="E2345" s="199"/>
      <c r="F2345" s="202"/>
      <c r="G2345" s="202"/>
      <c r="H2345" s="202"/>
      <c r="I2345" s="202"/>
      <c r="O2345" s="202"/>
      <c r="R2345" s="202"/>
    </row>
    <row r="2346" spans="3:18" ht="16.5">
      <c r="C2346" s="202"/>
      <c r="D2346" s="202"/>
      <c r="E2346" s="199"/>
      <c r="F2346" s="202"/>
      <c r="G2346" s="202"/>
      <c r="H2346" s="202"/>
      <c r="I2346" s="202"/>
      <c r="O2346" s="202"/>
      <c r="R2346" s="202"/>
    </row>
    <row r="2347" spans="3:18" ht="16.5">
      <c r="C2347" s="202"/>
      <c r="D2347" s="202"/>
      <c r="E2347" s="199"/>
      <c r="F2347" s="202"/>
      <c r="G2347" s="202"/>
      <c r="H2347" s="202"/>
      <c r="I2347" s="202"/>
      <c r="O2347" s="202"/>
      <c r="R2347" s="202"/>
    </row>
    <row r="2348" spans="3:18" ht="16.5">
      <c r="C2348" s="202"/>
      <c r="D2348" s="202"/>
      <c r="E2348" s="199"/>
      <c r="F2348" s="202"/>
      <c r="G2348" s="202"/>
      <c r="H2348" s="202"/>
      <c r="I2348" s="202"/>
      <c r="O2348" s="202"/>
      <c r="R2348" s="202"/>
    </row>
    <row r="2349" spans="3:18" ht="16.5">
      <c r="C2349" s="202"/>
      <c r="D2349" s="202"/>
      <c r="E2349" s="199"/>
      <c r="F2349" s="202"/>
      <c r="G2349" s="202"/>
      <c r="H2349" s="202"/>
      <c r="I2349" s="202"/>
      <c r="O2349" s="202"/>
      <c r="R2349" s="202"/>
    </row>
    <row r="2350" spans="3:18" ht="16.5">
      <c r="C2350" s="202"/>
      <c r="D2350" s="202"/>
      <c r="E2350" s="199"/>
      <c r="F2350" s="202"/>
      <c r="G2350" s="202"/>
      <c r="H2350" s="202"/>
      <c r="I2350" s="202"/>
      <c r="O2350" s="202"/>
      <c r="R2350" s="202"/>
    </row>
    <row r="2351" spans="3:18" ht="16.5">
      <c r="C2351" s="202"/>
      <c r="D2351" s="202"/>
      <c r="E2351" s="199"/>
      <c r="F2351" s="202"/>
      <c r="G2351" s="202"/>
      <c r="H2351" s="202"/>
      <c r="I2351" s="202"/>
      <c r="O2351" s="202"/>
      <c r="R2351" s="202"/>
    </row>
    <row r="2352" spans="3:18" ht="16.5">
      <c r="C2352" s="202"/>
      <c r="D2352" s="202"/>
      <c r="E2352" s="199"/>
      <c r="F2352" s="202"/>
      <c r="G2352" s="202"/>
      <c r="H2352" s="202"/>
      <c r="I2352" s="202"/>
      <c r="O2352" s="202"/>
      <c r="R2352" s="202"/>
    </row>
    <row r="2353" spans="3:18" ht="16.5">
      <c r="C2353" s="202"/>
      <c r="D2353" s="202"/>
      <c r="E2353" s="199"/>
      <c r="F2353" s="202"/>
      <c r="G2353" s="202"/>
      <c r="H2353" s="202"/>
      <c r="I2353" s="202"/>
      <c r="O2353" s="202"/>
      <c r="R2353" s="202"/>
    </row>
    <row r="2354" spans="3:18" ht="16.5">
      <c r="C2354" s="202"/>
      <c r="D2354" s="202"/>
      <c r="E2354" s="199"/>
      <c r="F2354" s="202"/>
      <c r="G2354" s="202"/>
      <c r="H2354" s="202"/>
      <c r="I2354" s="202"/>
      <c r="O2354" s="202"/>
      <c r="R2354" s="202"/>
    </row>
    <row r="2355" spans="3:18" ht="16.5">
      <c r="C2355" s="202"/>
      <c r="D2355" s="202"/>
      <c r="E2355" s="199"/>
      <c r="F2355" s="202"/>
      <c r="G2355" s="202"/>
      <c r="H2355" s="202"/>
      <c r="I2355" s="202"/>
      <c r="O2355" s="202"/>
      <c r="R2355" s="202"/>
    </row>
    <row r="2356" spans="3:18" ht="16.5">
      <c r="C2356" s="202"/>
      <c r="D2356" s="202"/>
      <c r="E2356" s="199"/>
      <c r="F2356" s="202"/>
      <c r="G2356" s="202"/>
      <c r="H2356" s="202"/>
      <c r="I2356" s="202"/>
      <c r="O2356" s="202"/>
      <c r="R2356" s="202"/>
    </row>
    <row r="2357" spans="3:18" ht="16.5">
      <c r="C2357" s="202"/>
      <c r="D2357" s="202"/>
      <c r="E2357" s="199"/>
      <c r="F2357" s="202"/>
      <c r="G2357" s="202"/>
      <c r="H2357" s="202"/>
      <c r="I2357" s="202"/>
      <c r="O2357" s="202"/>
      <c r="R2357" s="202"/>
    </row>
    <row r="2358" spans="3:18" ht="16.5">
      <c r="C2358" s="202"/>
      <c r="D2358" s="202"/>
      <c r="E2358" s="199"/>
      <c r="F2358" s="202"/>
      <c r="G2358" s="202"/>
      <c r="H2358" s="202"/>
      <c r="I2358" s="202"/>
      <c r="O2358" s="202"/>
      <c r="R2358" s="202"/>
    </row>
    <row r="2359" spans="3:18" ht="16.5">
      <c r="C2359" s="202"/>
      <c r="D2359" s="202"/>
      <c r="E2359" s="199"/>
      <c r="F2359" s="202"/>
      <c r="G2359" s="202"/>
      <c r="H2359" s="202"/>
      <c r="I2359" s="202"/>
      <c r="O2359" s="202"/>
      <c r="R2359" s="202"/>
    </row>
    <row r="2360" spans="3:18" ht="16.5">
      <c r="C2360" s="202"/>
      <c r="D2360" s="202"/>
      <c r="E2360" s="199"/>
      <c r="F2360" s="202"/>
      <c r="G2360" s="202"/>
      <c r="H2360" s="202"/>
      <c r="I2360" s="202"/>
      <c r="O2360" s="202"/>
      <c r="R2360" s="202"/>
    </row>
    <row r="2361" spans="3:18" ht="16.5">
      <c r="C2361" s="202"/>
      <c r="D2361" s="202"/>
      <c r="E2361" s="199"/>
      <c r="F2361" s="202"/>
      <c r="G2361" s="202"/>
      <c r="H2361" s="202"/>
      <c r="I2361" s="202"/>
      <c r="O2361" s="202"/>
      <c r="R2361" s="202"/>
    </row>
    <row r="2362" spans="3:18" ht="16.5">
      <c r="C2362" s="202"/>
      <c r="D2362" s="202"/>
      <c r="E2362" s="199"/>
      <c r="F2362" s="202"/>
      <c r="G2362" s="202"/>
      <c r="H2362" s="202"/>
      <c r="I2362" s="202"/>
      <c r="O2362" s="202"/>
      <c r="R2362" s="202"/>
    </row>
    <row r="2363" spans="3:18" ht="16.5">
      <c r="C2363" s="202"/>
      <c r="D2363" s="202"/>
      <c r="E2363" s="199"/>
      <c r="F2363" s="202"/>
      <c r="G2363" s="202"/>
      <c r="H2363" s="202"/>
      <c r="I2363" s="202"/>
      <c r="O2363" s="202"/>
      <c r="R2363" s="202"/>
    </row>
    <row r="2364" spans="3:18" ht="16.5">
      <c r="C2364" s="202"/>
      <c r="D2364" s="202"/>
      <c r="E2364" s="199"/>
      <c r="F2364" s="202"/>
      <c r="G2364" s="202"/>
      <c r="H2364" s="202"/>
      <c r="I2364" s="202"/>
      <c r="O2364" s="202"/>
      <c r="R2364" s="202"/>
    </row>
    <row r="2365" spans="3:18" ht="16.5">
      <c r="C2365" s="202"/>
      <c r="D2365" s="202"/>
      <c r="E2365" s="199"/>
      <c r="F2365" s="202"/>
      <c r="G2365" s="202"/>
      <c r="H2365" s="202"/>
      <c r="I2365" s="202"/>
      <c r="O2365" s="202"/>
      <c r="R2365" s="202"/>
    </row>
    <row r="2366" spans="3:18" ht="16.5">
      <c r="C2366" s="202"/>
      <c r="D2366" s="202"/>
      <c r="E2366" s="199"/>
      <c r="F2366" s="202"/>
      <c r="G2366" s="202"/>
      <c r="H2366" s="202"/>
      <c r="I2366" s="202"/>
      <c r="O2366" s="202"/>
      <c r="R2366" s="202"/>
    </row>
    <row r="2367" spans="3:18" ht="16.5">
      <c r="C2367" s="202"/>
      <c r="D2367" s="202"/>
      <c r="E2367" s="199"/>
      <c r="F2367" s="202"/>
      <c r="G2367" s="202"/>
      <c r="H2367" s="202"/>
      <c r="I2367" s="202"/>
      <c r="O2367" s="202"/>
      <c r="R2367" s="202"/>
    </row>
    <row r="2368" spans="3:18" ht="16.5">
      <c r="C2368" s="202"/>
      <c r="D2368" s="202"/>
      <c r="E2368" s="199"/>
      <c r="F2368" s="202"/>
      <c r="G2368" s="202"/>
      <c r="H2368" s="202"/>
      <c r="I2368" s="202"/>
      <c r="O2368" s="202"/>
      <c r="R2368" s="202"/>
    </row>
    <row r="2369" spans="3:18" ht="16.5">
      <c r="C2369" s="202"/>
      <c r="D2369" s="202"/>
      <c r="E2369" s="199"/>
      <c r="F2369" s="202"/>
      <c r="G2369" s="202"/>
      <c r="H2369" s="202"/>
      <c r="I2369" s="202"/>
      <c r="O2369" s="202"/>
      <c r="R2369" s="202"/>
    </row>
    <row r="2370" spans="3:18" ht="16.5">
      <c r="C2370" s="202"/>
      <c r="D2370" s="202"/>
      <c r="E2370" s="199"/>
      <c r="F2370" s="202"/>
      <c r="G2370" s="202"/>
      <c r="H2370" s="202"/>
      <c r="I2370" s="202"/>
      <c r="O2370" s="202"/>
      <c r="R2370" s="202"/>
    </row>
    <row r="2371" spans="3:18" ht="16.5">
      <c r="C2371" s="202"/>
      <c r="D2371" s="202"/>
      <c r="E2371" s="199"/>
      <c r="F2371" s="202"/>
      <c r="G2371" s="202"/>
      <c r="H2371" s="202"/>
      <c r="I2371" s="202"/>
      <c r="O2371" s="202"/>
      <c r="R2371" s="202"/>
    </row>
    <row r="2372" spans="3:18" ht="16.5">
      <c r="C2372" s="202"/>
      <c r="D2372" s="202"/>
      <c r="E2372" s="199"/>
      <c r="F2372" s="202"/>
      <c r="G2372" s="202"/>
      <c r="H2372" s="202"/>
      <c r="I2372" s="202"/>
      <c r="O2372" s="202"/>
      <c r="R2372" s="202"/>
    </row>
    <row r="2373" spans="3:18" ht="16.5">
      <c r="C2373" s="202"/>
      <c r="D2373" s="202"/>
      <c r="E2373" s="199"/>
      <c r="F2373" s="202"/>
      <c r="G2373" s="202"/>
      <c r="H2373" s="202"/>
      <c r="I2373" s="202"/>
      <c r="O2373" s="202"/>
      <c r="R2373" s="202"/>
    </row>
    <row r="2374" spans="3:18" ht="16.5">
      <c r="C2374" s="202"/>
      <c r="D2374" s="202"/>
      <c r="E2374" s="199"/>
      <c r="F2374" s="202"/>
      <c r="G2374" s="202"/>
      <c r="H2374" s="202"/>
      <c r="I2374" s="202"/>
      <c r="O2374" s="202"/>
      <c r="R2374" s="202"/>
    </row>
    <row r="2375" spans="3:18" ht="16.5">
      <c r="C2375" s="202"/>
      <c r="D2375" s="202"/>
      <c r="E2375" s="199"/>
      <c r="F2375" s="202"/>
      <c r="G2375" s="202"/>
      <c r="H2375" s="202"/>
      <c r="I2375" s="202"/>
      <c r="O2375" s="202"/>
      <c r="R2375" s="202"/>
    </row>
    <row r="2376" spans="3:18" ht="16.5">
      <c r="C2376" s="202"/>
      <c r="D2376" s="202"/>
      <c r="E2376" s="199"/>
      <c r="F2376" s="202"/>
      <c r="G2376" s="202"/>
      <c r="H2376" s="202"/>
      <c r="I2376" s="202"/>
      <c r="O2376" s="202"/>
      <c r="R2376" s="202"/>
    </row>
    <row r="2377" spans="3:18" ht="16.5">
      <c r="C2377" s="202"/>
      <c r="D2377" s="202"/>
      <c r="E2377" s="199"/>
      <c r="F2377" s="202"/>
      <c r="G2377" s="202"/>
      <c r="H2377" s="202"/>
      <c r="I2377" s="202"/>
      <c r="O2377" s="202"/>
      <c r="R2377" s="202"/>
    </row>
    <row r="2378" spans="3:18" ht="16.5">
      <c r="C2378" s="202"/>
      <c r="D2378" s="202"/>
      <c r="E2378" s="199"/>
      <c r="F2378" s="202"/>
      <c r="G2378" s="202"/>
      <c r="H2378" s="202"/>
      <c r="I2378" s="202"/>
      <c r="O2378" s="202"/>
      <c r="R2378" s="202"/>
    </row>
    <row r="2379" spans="3:18" ht="16.5">
      <c r="C2379" s="202"/>
      <c r="D2379" s="202"/>
      <c r="E2379" s="199"/>
      <c r="F2379" s="202"/>
      <c r="G2379" s="202"/>
      <c r="H2379" s="202"/>
      <c r="I2379" s="202"/>
      <c r="O2379" s="202"/>
      <c r="R2379" s="202"/>
    </row>
    <row r="2380" spans="3:18" ht="16.5">
      <c r="C2380" s="202"/>
      <c r="D2380" s="202"/>
      <c r="E2380" s="199"/>
      <c r="F2380" s="202"/>
      <c r="G2380" s="202"/>
      <c r="H2380" s="202"/>
      <c r="I2380" s="202"/>
      <c r="O2380" s="202"/>
      <c r="R2380" s="202"/>
    </row>
    <row r="2381" spans="3:18" ht="16.5">
      <c r="C2381" s="202"/>
      <c r="D2381" s="202"/>
      <c r="E2381" s="199"/>
      <c r="F2381" s="202"/>
      <c r="G2381" s="202"/>
      <c r="H2381" s="202"/>
      <c r="I2381" s="202"/>
      <c r="O2381" s="202"/>
      <c r="R2381" s="202"/>
    </row>
    <row r="2382" spans="3:18" ht="16.5">
      <c r="C2382" s="202"/>
      <c r="D2382" s="202"/>
      <c r="E2382" s="199"/>
      <c r="F2382" s="202"/>
      <c r="G2382" s="202"/>
      <c r="H2382" s="202"/>
      <c r="I2382" s="202"/>
      <c r="O2382" s="202"/>
      <c r="R2382" s="202"/>
    </row>
    <row r="2383" spans="3:18" ht="16.5">
      <c r="C2383" s="202"/>
      <c r="D2383" s="202"/>
      <c r="E2383" s="199"/>
      <c r="F2383" s="202"/>
      <c r="G2383" s="202"/>
      <c r="H2383" s="202"/>
      <c r="I2383" s="202"/>
      <c r="O2383" s="202"/>
      <c r="R2383" s="202"/>
    </row>
    <row r="2384" spans="3:18" ht="16.5">
      <c r="C2384" s="202"/>
      <c r="D2384" s="202"/>
      <c r="E2384" s="199"/>
      <c r="F2384" s="202"/>
      <c r="G2384" s="202"/>
      <c r="H2384" s="202"/>
      <c r="I2384" s="202"/>
      <c r="O2384" s="202"/>
      <c r="R2384" s="202"/>
    </row>
    <row r="2385" spans="3:18" ht="16.5">
      <c r="C2385" s="202"/>
      <c r="D2385" s="202"/>
      <c r="E2385" s="199"/>
      <c r="F2385" s="202"/>
      <c r="G2385" s="202"/>
      <c r="H2385" s="202"/>
      <c r="I2385" s="202"/>
      <c r="O2385" s="202"/>
      <c r="R2385" s="202"/>
    </row>
    <row r="2386" spans="3:18" ht="16.5">
      <c r="C2386" s="202"/>
      <c r="D2386" s="202"/>
      <c r="E2386" s="199"/>
      <c r="F2386" s="202"/>
      <c r="G2386" s="202"/>
      <c r="H2386" s="202"/>
      <c r="I2386" s="202"/>
      <c r="O2386" s="202"/>
      <c r="R2386" s="202"/>
    </row>
    <row r="2387" spans="3:18" ht="16.5">
      <c r="C2387" s="202"/>
      <c r="D2387" s="202"/>
      <c r="E2387" s="199"/>
      <c r="F2387" s="202"/>
      <c r="G2387" s="202"/>
      <c r="H2387" s="202"/>
      <c r="I2387" s="202"/>
      <c r="O2387" s="202"/>
      <c r="R2387" s="202"/>
    </row>
    <row r="2388" spans="3:18" ht="16.5">
      <c r="C2388" s="202"/>
      <c r="D2388" s="202"/>
      <c r="E2388" s="199"/>
      <c r="F2388" s="202"/>
      <c r="G2388" s="202"/>
      <c r="H2388" s="202"/>
      <c r="I2388" s="202"/>
      <c r="O2388" s="202"/>
      <c r="R2388" s="202"/>
    </row>
    <row r="2389" spans="3:18" ht="16.5">
      <c r="C2389" s="202"/>
      <c r="D2389" s="202"/>
      <c r="E2389" s="199"/>
      <c r="F2389" s="202"/>
      <c r="G2389" s="202"/>
      <c r="H2389" s="202"/>
      <c r="I2389" s="202"/>
      <c r="O2389" s="202"/>
      <c r="R2389" s="202"/>
    </row>
    <row r="2390" spans="3:18" ht="16.5">
      <c r="C2390" s="202"/>
      <c r="D2390" s="202"/>
      <c r="E2390" s="199"/>
      <c r="F2390" s="202"/>
      <c r="G2390" s="202"/>
      <c r="H2390" s="202"/>
      <c r="I2390" s="202"/>
      <c r="O2390" s="202"/>
      <c r="R2390" s="202"/>
    </row>
    <row r="2391" spans="3:18" ht="16.5">
      <c r="C2391" s="202"/>
      <c r="D2391" s="202"/>
      <c r="E2391" s="199"/>
      <c r="F2391" s="202"/>
      <c r="G2391" s="202"/>
      <c r="H2391" s="202"/>
      <c r="I2391" s="202"/>
      <c r="O2391" s="202"/>
      <c r="R2391" s="202"/>
    </row>
    <row r="2392" spans="3:18" ht="16.5">
      <c r="C2392" s="202"/>
      <c r="D2392" s="202"/>
      <c r="E2392" s="199"/>
      <c r="F2392" s="202"/>
      <c r="G2392" s="202"/>
      <c r="H2392" s="202"/>
      <c r="I2392" s="202"/>
      <c r="O2392" s="202"/>
      <c r="R2392" s="202"/>
    </row>
    <row r="2393" spans="3:18" ht="16.5">
      <c r="C2393" s="202"/>
      <c r="D2393" s="202"/>
      <c r="E2393" s="199"/>
      <c r="F2393" s="202"/>
      <c r="G2393" s="202"/>
      <c r="H2393" s="202"/>
      <c r="I2393" s="202"/>
      <c r="O2393" s="202"/>
      <c r="R2393" s="202"/>
    </row>
    <row r="2394" spans="3:18" ht="16.5">
      <c r="C2394" s="202"/>
      <c r="D2394" s="202"/>
      <c r="E2394" s="199"/>
      <c r="F2394" s="202"/>
      <c r="G2394" s="202"/>
      <c r="H2394" s="202"/>
      <c r="I2394" s="202"/>
      <c r="O2394" s="202"/>
      <c r="R2394" s="202"/>
    </row>
    <row r="2395" spans="3:18" ht="16.5">
      <c r="C2395" s="202"/>
      <c r="D2395" s="202"/>
      <c r="E2395" s="199"/>
      <c r="F2395" s="202"/>
      <c r="G2395" s="202"/>
      <c r="H2395" s="202"/>
      <c r="I2395" s="202"/>
      <c r="O2395" s="202"/>
      <c r="R2395" s="202"/>
    </row>
    <row r="2396" spans="3:18" ht="16.5">
      <c r="C2396" s="202"/>
      <c r="D2396" s="202"/>
      <c r="E2396" s="199"/>
      <c r="F2396" s="202"/>
      <c r="G2396" s="202"/>
      <c r="H2396" s="202"/>
      <c r="I2396" s="202"/>
      <c r="O2396" s="202"/>
      <c r="R2396" s="202"/>
    </row>
    <row r="2397" spans="3:18" ht="16.5">
      <c r="C2397" s="202"/>
      <c r="D2397" s="202"/>
      <c r="E2397" s="199"/>
      <c r="F2397" s="202"/>
      <c r="G2397" s="202"/>
      <c r="H2397" s="202"/>
      <c r="I2397" s="202"/>
      <c r="O2397" s="202"/>
      <c r="R2397" s="202"/>
    </row>
    <row r="2398" spans="3:18" ht="16.5">
      <c r="C2398" s="202"/>
      <c r="D2398" s="202"/>
      <c r="E2398" s="199"/>
      <c r="F2398" s="202"/>
      <c r="G2398" s="202"/>
      <c r="H2398" s="202"/>
      <c r="I2398" s="202"/>
      <c r="O2398" s="202"/>
      <c r="R2398" s="202"/>
    </row>
    <row r="2399" spans="3:18" ht="16.5">
      <c r="C2399" s="202"/>
      <c r="D2399" s="202"/>
      <c r="E2399" s="199"/>
      <c r="F2399" s="202"/>
      <c r="G2399" s="202"/>
      <c r="H2399" s="202"/>
      <c r="I2399" s="202"/>
      <c r="O2399" s="202"/>
      <c r="R2399" s="202"/>
    </row>
    <row r="2400" spans="3:18" ht="16.5">
      <c r="C2400" s="202"/>
      <c r="D2400" s="202"/>
      <c r="E2400" s="199"/>
      <c r="F2400" s="202"/>
      <c r="G2400" s="202"/>
      <c r="H2400" s="202"/>
      <c r="I2400" s="202"/>
      <c r="O2400" s="202"/>
      <c r="R2400" s="202"/>
    </row>
    <row r="2401" spans="3:18" ht="16.5">
      <c r="C2401" s="202"/>
      <c r="D2401" s="202"/>
      <c r="E2401" s="199"/>
      <c r="F2401" s="202"/>
      <c r="G2401" s="202"/>
      <c r="H2401" s="202"/>
      <c r="I2401" s="202"/>
      <c r="O2401" s="202"/>
      <c r="R2401" s="202"/>
    </row>
    <row r="2402" spans="3:18" ht="16.5">
      <c r="C2402" s="202"/>
      <c r="D2402" s="202"/>
      <c r="E2402" s="199"/>
      <c r="F2402" s="202"/>
      <c r="G2402" s="202"/>
      <c r="H2402" s="202"/>
      <c r="I2402" s="202"/>
      <c r="O2402" s="202"/>
      <c r="R2402" s="202"/>
    </row>
    <row r="2403" spans="3:18" ht="16.5">
      <c r="C2403" s="202"/>
      <c r="D2403" s="202"/>
      <c r="E2403" s="199"/>
      <c r="F2403" s="202"/>
      <c r="G2403" s="202"/>
      <c r="H2403" s="202"/>
      <c r="I2403" s="202"/>
      <c r="O2403" s="202"/>
      <c r="R2403" s="202"/>
    </row>
    <row r="2404" spans="3:18" ht="16.5">
      <c r="C2404" s="202"/>
      <c r="D2404" s="202"/>
      <c r="E2404" s="199"/>
      <c r="F2404" s="202"/>
      <c r="G2404" s="202"/>
      <c r="H2404" s="202"/>
      <c r="I2404" s="202"/>
      <c r="O2404" s="202"/>
      <c r="R2404" s="202"/>
    </row>
    <row r="2405" spans="3:18" ht="16.5">
      <c r="C2405" s="202"/>
      <c r="D2405" s="202"/>
      <c r="E2405" s="199"/>
      <c r="F2405" s="202"/>
      <c r="G2405" s="202"/>
      <c r="H2405" s="202"/>
      <c r="I2405" s="202"/>
      <c r="O2405" s="202"/>
      <c r="R2405" s="202"/>
    </row>
    <row r="2406" spans="3:18" ht="16.5">
      <c r="C2406" s="202"/>
      <c r="D2406" s="202"/>
      <c r="E2406" s="199"/>
      <c r="F2406" s="202"/>
      <c r="G2406" s="202"/>
      <c r="H2406" s="202"/>
      <c r="I2406" s="202"/>
      <c r="O2406" s="202"/>
      <c r="R2406" s="202"/>
    </row>
    <row r="2407" spans="3:18" ht="16.5">
      <c r="C2407" s="202"/>
      <c r="D2407" s="202"/>
      <c r="E2407" s="199"/>
      <c r="F2407" s="202"/>
      <c r="G2407" s="202"/>
      <c r="H2407" s="202"/>
      <c r="I2407" s="202"/>
      <c r="O2407" s="202"/>
      <c r="R2407" s="202"/>
    </row>
    <row r="2408" spans="3:18" ht="16.5">
      <c r="C2408" s="202"/>
      <c r="D2408" s="202"/>
      <c r="E2408" s="199"/>
      <c r="F2408" s="202"/>
      <c r="G2408" s="202"/>
      <c r="H2408" s="202"/>
      <c r="I2408" s="202"/>
      <c r="O2408" s="202"/>
      <c r="R2408" s="202"/>
    </row>
    <row r="2409" spans="3:18" ht="16.5">
      <c r="C2409" s="202"/>
      <c r="D2409" s="202"/>
      <c r="E2409" s="199"/>
      <c r="F2409" s="202"/>
      <c r="G2409" s="202"/>
      <c r="H2409" s="202"/>
      <c r="I2409" s="202"/>
      <c r="O2409" s="202"/>
      <c r="R2409" s="202"/>
    </row>
    <row r="2410" spans="3:18" ht="16.5">
      <c r="C2410" s="202"/>
      <c r="D2410" s="202"/>
      <c r="E2410" s="199"/>
      <c r="F2410" s="202"/>
      <c r="G2410" s="202"/>
      <c r="H2410" s="202"/>
      <c r="I2410" s="202"/>
      <c r="O2410" s="202"/>
      <c r="R2410" s="202"/>
    </row>
    <row r="2411" spans="3:18" ht="16.5">
      <c r="C2411" s="202"/>
      <c r="D2411" s="202"/>
      <c r="E2411" s="199"/>
      <c r="F2411" s="202"/>
      <c r="G2411" s="202"/>
      <c r="H2411" s="202"/>
      <c r="I2411" s="202"/>
      <c r="O2411" s="202"/>
      <c r="R2411" s="202"/>
    </row>
    <row r="2412" spans="3:18" ht="16.5">
      <c r="C2412" s="202"/>
      <c r="D2412" s="202"/>
      <c r="E2412" s="199"/>
      <c r="F2412" s="202"/>
      <c r="G2412" s="202"/>
      <c r="H2412" s="202"/>
      <c r="I2412" s="202"/>
      <c r="O2412" s="202"/>
      <c r="R2412" s="202"/>
    </row>
    <row r="2413" spans="3:18" ht="16.5">
      <c r="C2413" s="202"/>
      <c r="D2413" s="202"/>
      <c r="E2413" s="199"/>
      <c r="F2413" s="202"/>
      <c r="G2413" s="202"/>
      <c r="H2413" s="202"/>
      <c r="I2413" s="202"/>
      <c r="O2413" s="202"/>
      <c r="R2413" s="202"/>
    </row>
    <row r="2414" spans="3:18" ht="16.5">
      <c r="C2414" s="202"/>
      <c r="D2414" s="202"/>
      <c r="E2414" s="199"/>
      <c r="F2414" s="202"/>
      <c r="G2414" s="202"/>
      <c r="H2414" s="202"/>
      <c r="I2414" s="202"/>
      <c r="O2414" s="202"/>
      <c r="R2414" s="202"/>
    </row>
    <row r="2415" spans="3:18" ht="16.5">
      <c r="C2415" s="202"/>
      <c r="D2415" s="202"/>
      <c r="E2415" s="199"/>
      <c r="F2415" s="202"/>
      <c r="G2415" s="202"/>
      <c r="H2415" s="202"/>
      <c r="I2415" s="202"/>
      <c r="O2415" s="202"/>
      <c r="R2415" s="202"/>
    </row>
    <row r="2416" spans="3:18" ht="16.5">
      <c r="C2416" s="202"/>
      <c r="D2416" s="202"/>
      <c r="E2416" s="199"/>
      <c r="F2416" s="202"/>
      <c r="G2416" s="202"/>
      <c r="H2416" s="202"/>
      <c r="I2416" s="202"/>
      <c r="O2416" s="202"/>
      <c r="R2416" s="202"/>
    </row>
    <row r="2417" spans="3:18" ht="16.5">
      <c r="C2417" s="202"/>
      <c r="D2417" s="202"/>
      <c r="E2417" s="199"/>
      <c r="F2417" s="202"/>
      <c r="G2417" s="202"/>
      <c r="H2417" s="202"/>
      <c r="I2417" s="202"/>
      <c r="O2417" s="202"/>
      <c r="R2417" s="202"/>
    </row>
    <row r="2418" spans="3:18" ht="16.5">
      <c r="C2418" s="202"/>
      <c r="D2418" s="202"/>
      <c r="E2418" s="199"/>
      <c r="F2418" s="202"/>
      <c r="G2418" s="202"/>
      <c r="H2418" s="202"/>
      <c r="I2418" s="202"/>
      <c r="O2418" s="202"/>
      <c r="R2418" s="202"/>
    </row>
    <row r="2419" spans="3:18" ht="16.5">
      <c r="C2419" s="202"/>
      <c r="D2419" s="202"/>
      <c r="E2419" s="199"/>
      <c r="F2419" s="202"/>
      <c r="G2419" s="202"/>
      <c r="H2419" s="202"/>
      <c r="I2419" s="202"/>
      <c r="O2419" s="202"/>
      <c r="R2419" s="202"/>
    </row>
    <row r="2420" spans="3:18" ht="16.5">
      <c r="C2420" s="202"/>
      <c r="D2420" s="202"/>
      <c r="E2420" s="199"/>
      <c r="F2420" s="202"/>
      <c r="G2420" s="202"/>
      <c r="H2420" s="202"/>
      <c r="I2420" s="202"/>
      <c r="O2420" s="202"/>
      <c r="R2420" s="202"/>
    </row>
    <row r="2421" spans="3:18" ht="16.5">
      <c r="C2421" s="202"/>
      <c r="D2421" s="202"/>
      <c r="E2421" s="199"/>
      <c r="F2421" s="202"/>
      <c r="G2421" s="202"/>
      <c r="H2421" s="202"/>
      <c r="I2421" s="202"/>
      <c r="O2421" s="202"/>
      <c r="R2421" s="202"/>
    </row>
    <row r="2422" spans="3:18" ht="16.5">
      <c r="C2422" s="202"/>
      <c r="D2422" s="202"/>
      <c r="E2422" s="199"/>
      <c r="F2422" s="202"/>
      <c r="G2422" s="202"/>
      <c r="H2422" s="202"/>
      <c r="I2422" s="202"/>
      <c r="O2422" s="202"/>
      <c r="R2422" s="202"/>
    </row>
    <row r="2423" spans="3:18" ht="16.5">
      <c r="C2423" s="202"/>
      <c r="D2423" s="202"/>
      <c r="E2423" s="199"/>
      <c r="F2423" s="202"/>
      <c r="G2423" s="202"/>
      <c r="H2423" s="202"/>
      <c r="I2423" s="202"/>
      <c r="O2423" s="202"/>
      <c r="R2423" s="202"/>
    </row>
    <row r="2424" spans="3:18" ht="16.5">
      <c r="C2424" s="202"/>
      <c r="D2424" s="202"/>
      <c r="E2424" s="199"/>
      <c r="F2424" s="202"/>
      <c r="G2424" s="202"/>
      <c r="H2424" s="202"/>
      <c r="I2424" s="202"/>
      <c r="O2424" s="202"/>
      <c r="R2424" s="202"/>
    </row>
    <row r="2425" spans="3:18" ht="16.5">
      <c r="C2425" s="202"/>
      <c r="D2425" s="202"/>
      <c r="E2425" s="199"/>
      <c r="F2425" s="202"/>
      <c r="G2425" s="202"/>
      <c r="H2425" s="202"/>
      <c r="I2425" s="202"/>
      <c r="O2425" s="202"/>
      <c r="R2425" s="202"/>
    </row>
    <row r="2426" spans="3:18" ht="16.5">
      <c r="C2426" s="202"/>
      <c r="D2426" s="202"/>
      <c r="E2426" s="199"/>
      <c r="F2426" s="202"/>
      <c r="G2426" s="202"/>
      <c r="H2426" s="202"/>
      <c r="I2426" s="202"/>
      <c r="O2426" s="202"/>
      <c r="R2426" s="202"/>
    </row>
    <row r="2427" spans="3:18" ht="16.5">
      <c r="C2427" s="202"/>
      <c r="D2427" s="202"/>
      <c r="E2427" s="199"/>
      <c r="F2427" s="202"/>
      <c r="G2427" s="202"/>
      <c r="H2427" s="202"/>
      <c r="I2427" s="202"/>
      <c r="O2427" s="202"/>
      <c r="R2427" s="202"/>
    </row>
    <row r="2428" spans="3:18" ht="16.5">
      <c r="C2428" s="202"/>
      <c r="D2428" s="202"/>
      <c r="E2428" s="199"/>
      <c r="F2428" s="202"/>
      <c r="G2428" s="202"/>
      <c r="H2428" s="202"/>
      <c r="I2428" s="202"/>
      <c r="O2428" s="202"/>
      <c r="R2428" s="202"/>
    </row>
    <row r="2429" spans="3:18" ht="16.5">
      <c r="C2429" s="202"/>
      <c r="D2429" s="202"/>
      <c r="E2429" s="199"/>
      <c r="F2429" s="202"/>
      <c r="G2429" s="202"/>
      <c r="H2429" s="202"/>
      <c r="I2429" s="202"/>
      <c r="O2429" s="202"/>
      <c r="R2429" s="202"/>
    </row>
    <row r="2430" spans="3:18" ht="16.5">
      <c r="C2430" s="202"/>
      <c r="D2430" s="202"/>
      <c r="E2430" s="199"/>
      <c r="F2430" s="202"/>
      <c r="G2430" s="202"/>
      <c r="H2430" s="202"/>
      <c r="I2430" s="202"/>
      <c r="O2430" s="202"/>
      <c r="R2430" s="202"/>
    </row>
    <row r="2431" spans="3:18" ht="16.5">
      <c r="C2431" s="202"/>
      <c r="D2431" s="202"/>
      <c r="E2431" s="199"/>
      <c r="F2431" s="202"/>
      <c r="G2431" s="202"/>
      <c r="H2431" s="202"/>
      <c r="I2431" s="202"/>
      <c r="O2431" s="202"/>
      <c r="R2431" s="202"/>
    </row>
    <row r="2432" spans="3:18" ht="16.5">
      <c r="C2432" s="202"/>
      <c r="D2432" s="202"/>
      <c r="E2432" s="199"/>
      <c r="F2432" s="202"/>
      <c r="G2432" s="202"/>
      <c r="H2432" s="202"/>
      <c r="I2432" s="202"/>
      <c r="O2432" s="202"/>
      <c r="R2432" s="202"/>
    </row>
    <row r="2433" spans="3:18" ht="16.5">
      <c r="C2433" s="202"/>
      <c r="D2433" s="202"/>
      <c r="E2433" s="199"/>
      <c r="F2433" s="202"/>
      <c r="G2433" s="202"/>
      <c r="H2433" s="202"/>
      <c r="I2433" s="202"/>
      <c r="O2433" s="202"/>
      <c r="R2433" s="202"/>
    </row>
    <row r="2434" spans="3:18" ht="16.5">
      <c r="C2434" s="202"/>
      <c r="D2434" s="202"/>
      <c r="E2434" s="199"/>
      <c r="F2434" s="202"/>
      <c r="G2434" s="202"/>
      <c r="H2434" s="202"/>
      <c r="I2434" s="202"/>
      <c r="O2434" s="202"/>
      <c r="R2434" s="202"/>
    </row>
    <row r="2435" spans="3:18" ht="16.5">
      <c r="C2435" s="202"/>
      <c r="D2435" s="202"/>
      <c r="E2435" s="199"/>
      <c r="F2435" s="202"/>
      <c r="G2435" s="202"/>
      <c r="H2435" s="202"/>
      <c r="I2435" s="202"/>
      <c r="O2435" s="202"/>
      <c r="R2435" s="202"/>
    </row>
    <row r="2436" spans="3:18" ht="16.5">
      <c r="C2436" s="202"/>
      <c r="D2436" s="202"/>
      <c r="E2436" s="199"/>
      <c r="F2436" s="202"/>
      <c r="G2436" s="202"/>
      <c r="H2436" s="202"/>
      <c r="I2436" s="202"/>
      <c r="O2436" s="202"/>
      <c r="R2436" s="202"/>
    </row>
    <row r="2437" spans="3:18" ht="16.5">
      <c r="C2437" s="202"/>
      <c r="D2437" s="202"/>
      <c r="E2437" s="199"/>
      <c r="F2437" s="202"/>
      <c r="G2437" s="202"/>
      <c r="H2437" s="202"/>
      <c r="I2437" s="202"/>
      <c r="O2437" s="202"/>
      <c r="R2437" s="202"/>
    </row>
    <row r="2438" spans="3:18" ht="16.5">
      <c r="C2438" s="202"/>
      <c r="D2438" s="202"/>
      <c r="E2438" s="199"/>
      <c r="F2438" s="202"/>
      <c r="G2438" s="202"/>
      <c r="H2438" s="202"/>
      <c r="I2438" s="202"/>
      <c r="O2438" s="202"/>
      <c r="R2438" s="202"/>
    </row>
    <row r="2439" spans="3:18" ht="16.5">
      <c r="C2439" s="202"/>
      <c r="D2439" s="202"/>
      <c r="E2439" s="199"/>
      <c r="F2439" s="202"/>
      <c r="G2439" s="202"/>
      <c r="H2439" s="202"/>
      <c r="I2439" s="202"/>
      <c r="O2439" s="202"/>
      <c r="R2439" s="202"/>
    </row>
    <row r="2440" spans="3:18" ht="16.5">
      <c r="C2440" s="202"/>
      <c r="D2440" s="202"/>
      <c r="E2440" s="199"/>
      <c r="F2440" s="202"/>
      <c r="G2440" s="202"/>
      <c r="H2440" s="202"/>
      <c r="I2440" s="202"/>
      <c r="O2440" s="202"/>
      <c r="R2440" s="202"/>
    </row>
    <row r="2441" spans="3:18" ht="16.5">
      <c r="C2441" s="202"/>
      <c r="D2441" s="202"/>
      <c r="E2441" s="199"/>
      <c r="F2441" s="202"/>
      <c r="G2441" s="202"/>
      <c r="H2441" s="202"/>
      <c r="I2441" s="202"/>
      <c r="O2441" s="202"/>
      <c r="R2441" s="202"/>
    </row>
    <row r="2442" spans="3:18" ht="16.5">
      <c r="C2442" s="202"/>
      <c r="D2442" s="202"/>
      <c r="E2442" s="199"/>
      <c r="F2442" s="202"/>
      <c r="G2442" s="202"/>
      <c r="H2442" s="202"/>
      <c r="I2442" s="202"/>
      <c r="O2442" s="202"/>
      <c r="R2442" s="202"/>
    </row>
    <row r="2443" spans="3:18" ht="16.5">
      <c r="C2443" s="202"/>
      <c r="D2443" s="202"/>
      <c r="E2443" s="199"/>
      <c r="F2443" s="202"/>
      <c r="G2443" s="202"/>
      <c r="H2443" s="202"/>
      <c r="I2443" s="202"/>
      <c r="O2443" s="202"/>
      <c r="R2443" s="202"/>
    </row>
    <row r="2444" spans="3:18" ht="16.5">
      <c r="C2444" s="202"/>
      <c r="D2444" s="202"/>
      <c r="E2444" s="199"/>
      <c r="F2444" s="202"/>
      <c r="G2444" s="202"/>
      <c r="H2444" s="202"/>
      <c r="I2444" s="202"/>
      <c r="O2444" s="202"/>
      <c r="R2444" s="202"/>
    </row>
    <row r="2445" spans="3:18" ht="16.5">
      <c r="C2445" s="202"/>
      <c r="D2445" s="202"/>
      <c r="E2445" s="199"/>
      <c r="F2445" s="202"/>
      <c r="G2445" s="202"/>
      <c r="H2445" s="202"/>
      <c r="I2445" s="202"/>
      <c r="O2445" s="202"/>
      <c r="R2445" s="202"/>
    </row>
    <row r="2446" spans="3:18" ht="16.5">
      <c r="C2446" s="202"/>
      <c r="D2446" s="202"/>
      <c r="E2446" s="199"/>
      <c r="F2446" s="202"/>
      <c r="G2446" s="202"/>
      <c r="H2446" s="202"/>
      <c r="I2446" s="202"/>
      <c r="O2446" s="202"/>
      <c r="R2446" s="202"/>
    </row>
    <row r="2447" spans="3:18" ht="16.5">
      <c r="C2447" s="202"/>
      <c r="D2447" s="202"/>
      <c r="E2447" s="199"/>
      <c r="F2447" s="202"/>
      <c r="G2447" s="202"/>
      <c r="H2447" s="202"/>
      <c r="I2447" s="202"/>
      <c r="O2447" s="202"/>
      <c r="R2447" s="202"/>
    </row>
    <row r="2448" spans="3:18" ht="16.5">
      <c r="C2448" s="202"/>
      <c r="D2448" s="202"/>
      <c r="E2448" s="199"/>
      <c r="F2448" s="202"/>
      <c r="G2448" s="202"/>
      <c r="H2448" s="202"/>
      <c r="I2448" s="202"/>
      <c r="O2448" s="202"/>
      <c r="R2448" s="202"/>
    </row>
    <row r="2449" spans="3:18" ht="16.5">
      <c r="C2449" s="202"/>
      <c r="D2449" s="202"/>
      <c r="E2449" s="199"/>
      <c r="F2449" s="202"/>
      <c r="G2449" s="202"/>
      <c r="H2449" s="202"/>
      <c r="I2449" s="202"/>
      <c r="O2449" s="202"/>
      <c r="R2449" s="202"/>
    </row>
    <row r="2450" spans="3:18" ht="16.5">
      <c r="C2450" s="202"/>
      <c r="D2450" s="202"/>
      <c r="E2450" s="199"/>
      <c r="F2450" s="202"/>
      <c r="G2450" s="202"/>
      <c r="H2450" s="202"/>
      <c r="I2450" s="202"/>
      <c r="O2450" s="202"/>
      <c r="R2450" s="202"/>
    </row>
    <row r="2451" spans="3:18" ht="16.5">
      <c r="C2451" s="202"/>
      <c r="D2451" s="202"/>
      <c r="E2451" s="199"/>
      <c r="F2451" s="202"/>
      <c r="G2451" s="202"/>
      <c r="H2451" s="202"/>
      <c r="I2451" s="202"/>
      <c r="O2451" s="202"/>
      <c r="R2451" s="202"/>
    </row>
    <row r="2452" spans="3:18" ht="16.5">
      <c r="C2452" s="202"/>
      <c r="D2452" s="202"/>
      <c r="E2452" s="199"/>
      <c r="F2452" s="202"/>
      <c r="G2452" s="202"/>
      <c r="H2452" s="202"/>
      <c r="I2452" s="202"/>
      <c r="O2452" s="202"/>
      <c r="R2452" s="202"/>
    </row>
    <row r="2453" spans="3:18" ht="16.5">
      <c r="C2453" s="202"/>
      <c r="D2453" s="202"/>
      <c r="E2453" s="199"/>
      <c r="F2453" s="202"/>
      <c r="G2453" s="202"/>
      <c r="H2453" s="202"/>
      <c r="I2453" s="202"/>
      <c r="O2453" s="202"/>
      <c r="R2453" s="202"/>
    </row>
    <row r="2454" spans="3:18" ht="16.5">
      <c r="C2454" s="202"/>
      <c r="D2454" s="202"/>
      <c r="E2454" s="199"/>
      <c r="F2454" s="202"/>
      <c r="G2454" s="202"/>
      <c r="H2454" s="202"/>
      <c r="I2454" s="202"/>
      <c r="O2454" s="202"/>
      <c r="R2454" s="202"/>
    </row>
    <row r="2455" spans="3:18" ht="16.5">
      <c r="C2455" s="202"/>
      <c r="D2455" s="202"/>
      <c r="E2455" s="199"/>
      <c r="F2455" s="202"/>
      <c r="G2455" s="202"/>
      <c r="H2455" s="202"/>
      <c r="I2455" s="202"/>
      <c r="O2455" s="202"/>
      <c r="R2455" s="202"/>
    </row>
    <row r="2456" spans="3:18" ht="16.5">
      <c r="C2456" s="202"/>
      <c r="D2456" s="202"/>
      <c r="E2456" s="199"/>
      <c r="F2456" s="202"/>
      <c r="G2456" s="202"/>
      <c r="H2456" s="202"/>
      <c r="I2456" s="202"/>
      <c r="O2456" s="202"/>
      <c r="R2456" s="202"/>
    </row>
    <row r="2457" spans="3:18" ht="16.5">
      <c r="C2457" s="202"/>
      <c r="D2457" s="202"/>
      <c r="E2457" s="199"/>
      <c r="F2457" s="202"/>
      <c r="G2457" s="202"/>
      <c r="H2457" s="202"/>
      <c r="I2457" s="202"/>
      <c r="O2457" s="202"/>
      <c r="R2457" s="202"/>
    </row>
    <row r="2458" spans="3:18" ht="16.5">
      <c r="C2458" s="202"/>
      <c r="D2458" s="202"/>
      <c r="E2458" s="199"/>
      <c r="F2458" s="202"/>
      <c r="G2458" s="202"/>
      <c r="H2458" s="202"/>
      <c r="I2458" s="202"/>
      <c r="O2458" s="202"/>
      <c r="R2458" s="202"/>
    </row>
    <row r="2459" spans="3:18" ht="16.5">
      <c r="C2459" s="202"/>
      <c r="D2459" s="202"/>
      <c r="E2459" s="199"/>
      <c r="F2459" s="202"/>
      <c r="G2459" s="202"/>
      <c r="H2459" s="202"/>
      <c r="I2459" s="202"/>
      <c r="O2459" s="202"/>
      <c r="R2459" s="202"/>
    </row>
    <row r="2460" spans="3:18" ht="16.5">
      <c r="C2460" s="202"/>
      <c r="D2460" s="202"/>
      <c r="E2460" s="199"/>
      <c r="F2460" s="202"/>
      <c r="G2460" s="202"/>
      <c r="H2460" s="202"/>
      <c r="I2460" s="202"/>
      <c r="O2460" s="202"/>
      <c r="R2460" s="202"/>
    </row>
    <row r="2461" spans="3:18" ht="16.5">
      <c r="C2461" s="202"/>
      <c r="D2461" s="202"/>
      <c r="E2461" s="199"/>
      <c r="F2461" s="202"/>
      <c r="G2461" s="202"/>
      <c r="H2461" s="202"/>
      <c r="I2461" s="202"/>
      <c r="O2461" s="202"/>
      <c r="R2461" s="202"/>
    </row>
    <row r="2462" spans="3:18" ht="16.5">
      <c r="C2462" s="202"/>
      <c r="D2462" s="202"/>
      <c r="E2462" s="199"/>
      <c r="F2462" s="202"/>
      <c r="G2462" s="202"/>
      <c r="H2462" s="202"/>
      <c r="I2462" s="202"/>
      <c r="O2462" s="202"/>
      <c r="R2462" s="202"/>
    </row>
    <row r="2463" spans="3:18" ht="16.5">
      <c r="C2463" s="202"/>
      <c r="D2463" s="202"/>
      <c r="E2463" s="199"/>
      <c r="F2463" s="202"/>
      <c r="G2463" s="202"/>
      <c r="H2463" s="202"/>
      <c r="I2463" s="202"/>
      <c r="O2463" s="202"/>
      <c r="R2463" s="202"/>
    </row>
    <row r="2464" spans="3:18" ht="16.5">
      <c r="C2464" s="202"/>
      <c r="D2464" s="202"/>
      <c r="E2464" s="199"/>
      <c r="F2464" s="202"/>
      <c r="G2464" s="202"/>
      <c r="H2464" s="202"/>
      <c r="I2464" s="202"/>
      <c r="O2464" s="202"/>
      <c r="R2464" s="202"/>
    </row>
    <row r="2465" spans="3:18" ht="16.5">
      <c r="C2465" s="202"/>
      <c r="D2465" s="202"/>
      <c r="E2465" s="199"/>
      <c r="F2465" s="202"/>
      <c r="G2465" s="202"/>
      <c r="H2465" s="202"/>
      <c r="I2465" s="202"/>
      <c r="O2465" s="202"/>
      <c r="R2465" s="202"/>
    </row>
    <row r="2466" spans="3:18" ht="16.5">
      <c r="C2466" s="202"/>
      <c r="D2466" s="202"/>
      <c r="E2466" s="199"/>
      <c r="F2466" s="202"/>
      <c r="G2466" s="202"/>
      <c r="H2466" s="202"/>
      <c r="I2466" s="202"/>
      <c r="O2466" s="202"/>
      <c r="R2466" s="202"/>
    </row>
    <row r="2467" spans="3:18" ht="16.5">
      <c r="C2467" s="202"/>
      <c r="D2467" s="202"/>
      <c r="E2467" s="199"/>
      <c r="F2467" s="202"/>
      <c r="G2467" s="202"/>
      <c r="H2467" s="202"/>
      <c r="I2467" s="202"/>
      <c r="O2467" s="202"/>
      <c r="R2467" s="202"/>
    </row>
    <row r="2468" spans="3:18" ht="16.5">
      <c r="C2468" s="202"/>
      <c r="D2468" s="202"/>
      <c r="E2468" s="199"/>
      <c r="F2468" s="202"/>
      <c r="G2468" s="202"/>
      <c r="H2468" s="202"/>
      <c r="I2468" s="202"/>
      <c r="O2468" s="202"/>
      <c r="R2468" s="202"/>
    </row>
    <row r="2469" spans="3:18" ht="16.5">
      <c r="C2469" s="202"/>
      <c r="D2469" s="202"/>
      <c r="E2469" s="199"/>
      <c r="F2469" s="202"/>
      <c r="G2469" s="202"/>
      <c r="H2469" s="202"/>
      <c r="I2469" s="202"/>
      <c r="O2469" s="202"/>
      <c r="R2469" s="202"/>
    </row>
    <row r="2470" spans="3:18" ht="16.5">
      <c r="C2470" s="202"/>
      <c r="D2470" s="202"/>
      <c r="E2470" s="199"/>
      <c r="F2470" s="202"/>
      <c r="G2470" s="202"/>
      <c r="H2470" s="202"/>
      <c r="I2470" s="202"/>
      <c r="O2470" s="202"/>
      <c r="R2470" s="202"/>
    </row>
    <row r="2471" spans="3:18" ht="16.5">
      <c r="C2471" s="202"/>
      <c r="D2471" s="202"/>
      <c r="E2471" s="199"/>
      <c r="F2471" s="202"/>
      <c r="G2471" s="202"/>
      <c r="H2471" s="202"/>
      <c r="I2471" s="202"/>
      <c r="O2471" s="202"/>
      <c r="R2471" s="202"/>
    </row>
    <row r="2472" spans="3:18" ht="16.5">
      <c r="C2472" s="202"/>
      <c r="D2472" s="202"/>
      <c r="E2472" s="199"/>
      <c r="F2472" s="202"/>
      <c r="G2472" s="202"/>
      <c r="H2472" s="202"/>
      <c r="I2472" s="202"/>
      <c r="O2472" s="202"/>
      <c r="R2472" s="202"/>
    </row>
    <row r="2473" spans="3:18" ht="16.5">
      <c r="C2473" s="202"/>
      <c r="D2473" s="202"/>
      <c r="E2473" s="199"/>
      <c r="F2473" s="202"/>
      <c r="G2473" s="202"/>
      <c r="H2473" s="202"/>
      <c r="I2473" s="202"/>
      <c r="O2473" s="202"/>
      <c r="R2473" s="202"/>
    </row>
    <row r="2474" spans="3:18" ht="16.5">
      <c r="C2474" s="202"/>
      <c r="D2474" s="202"/>
      <c r="E2474" s="199"/>
      <c r="F2474" s="202"/>
      <c r="G2474" s="202"/>
      <c r="H2474" s="202"/>
      <c r="I2474" s="202"/>
      <c r="O2474" s="202"/>
      <c r="R2474" s="202"/>
    </row>
    <row r="2475" spans="3:18" ht="16.5">
      <c r="C2475" s="202"/>
      <c r="D2475" s="202"/>
      <c r="E2475" s="199"/>
      <c r="F2475" s="202"/>
      <c r="G2475" s="202"/>
      <c r="H2475" s="202"/>
      <c r="I2475" s="202"/>
      <c r="O2475" s="202"/>
      <c r="R2475" s="202"/>
    </row>
    <row r="2476" spans="3:18" ht="16.5">
      <c r="C2476" s="202"/>
      <c r="D2476" s="202"/>
      <c r="E2476" s="199"/>
      <c r="F2476" s="202"/>
      <c r="G2476" s="202"/>
      <c r="H2476" s="202"/>
      <c r="I2476" s="202"/>
      <c r="O2476" s="202"/>
      <c r="R2476" s="202"/>
    </row>
    <row r="2477" spans="3:18" ht="16.5">
      <c r="C2477" s="202"/>
      <c r="D2477" s="202"/>
      <c r="E2477" s="199"/>
      <c r="F2477" s="202"/>
      <c r="G2477" s="202"/>
      <c r="H2477" s="202"/>
      <c r="I2477" s="202"/>
      <c r="O2477" s="202"/>
      <c r="R2477" s="202"/>
    </row>
    <row r="2478" spans="3:18" ht="16.5">
      <c r="C2478" s="202"/>
      <c r="D2478" s="202"/>
      <c r="E2478" s="199"/>
      <c r="F2478" s="202"/>
      <c r="G2478" s="202"/>
      <c r="H2478" s="202"/>
      <c r="I2478" s="202"/>
      <c r="O2478" s="202"/>
      <c r="R2478" s="202"/>
    </row>
    <row r="2479" spans="3:18" ht="16.5">
      <c r="C2479" s="202"/>
      <c r="D2479" s="202"/>
      <c r="E2479" s="199"/>
      <c r="F2479" s="202"/>
      <c r="G2479" s="202"/>
      <c r="H2479" s="202"/>
      <c r="I2479" s="202"/>
      <c r="O2479" s="202"/>
      <c r="R2479" s="202"/>
    </row>
    <row r="2480" spans="3:18" ht="16.5">
      <c r="C2480" s="202"/>
      <c r="D2480" s="202"/>
      <c r="E2480" s="199"/>
      <c r="F2480" s="202"/>
      <c r="G2480" s="202"/>
      <c r="H2480" s="202"/>
      <c r="I2480" s="202"/>
      <c r="O2480" s="202"/>
      <c r="R2480" s="202"/>
    </row>
    <row r="2481" spans="3:18" ht="16.5">
      <c r="C2481" s="202"/>
      <c r="D2481" s="202"/>
      <c r="E2481" s="199"/>
      <c r="F2481" s="202"/>
      <c r="G2481" s="202"/>
      <c r="H2481" s="202"/>
      <c r="I2481" s="202"/>
      <c r="O2481" s="202"/>
      <c r="R2481" s="202"/>
    </row>
    <row r="2482" spans="3:18" ht="16.5">
      <c r="C2482" s="202"/>
      <c r="D2482" s="202"/>
      <c r="E2482" s="199"/>
      <c r="F2482" s="202"/>
      <c r="G2482" s="202"/>
      <c r="H2482" s="202"/>
      <c r="I2482" s="202"/>
      <c r="O2482" s="202"/>
      <c r="R2482" s="202"/>
    </row>
    <row r="2483" spans="3:18" ht="16.5">
      <c r="C2483" s="202"/>
      <c r="D2483" s="202"/>
      <c r="E2483" s="199"/>
      <c r="F2483" s="202"/>
      <c r="G2483" s="202"/>
      <c r="H2483" s="202"/>
      <c r="I2483" s="202"/>
      <c r="O2483" s="202"/>
      <c r="R2483" s="202"/>
    </row>
    <row r="2484" spans="3:18" ht="16.5">
      <c r="C2484" s="202"/>
      <c r="D2484" s="202"/>
      <c r="E2484" s="199"/>
      <c r="F2484" s="202"/>
      <c r="G2484" s="202"/>
      <c r="H2484" s="202"/>
      <c r="I2484" s="202"/>
      <c r="O2484" s="202"/>
      <c r="R2484" s="202"/>
    </row>
    <row r="2485" spans="3:18" ht="16.5">
      <c r="C2485" s="202"/>
      <c r="D2485" s="202"/>
      <c r="E2485" s="199"/>
      <c r="F2485" s="202"/>
      <c r="G2485" s="202"/>
      <c r="H2485" s="202"/>
      <c r="I2485" s="202"/>
      <c r="O2485" s="202"/>
      <c r="R2485" s="202"/>
    </row>
    <row r="2486" spans="3:18" ht="16.5">
      <c r="C2486" s="202"/>
      <c r="D2486" s="202"/>
      <c r="E2486" s="199"/>
      <c r="F2486" s="202"/>
      <c r="G2486" s="202"/>
      <c r="H2486" s="202"/>
      <c r="I2486" s="202"/>
      <c r="O2486" s="202"/>
      <c r="R2486" s="202"/>
    </row>
    <row r="2487" spans="3:18" ht="16.5">
      <c r="C2487" s="202"/>
      <c r="D2487" s="202"/>
      <c r="E2487" s="199"/>
      <c r="F2487" s="202"/>
      <c r="G2487" s="202"/>
      <c r="H2487" s="202"/>
      <c r="I2487" s="202"/>
      <c r="O2487" s="202"/>
      <c r="R2487" s="202"/>
    </row>
    <row r="2488" spans="3:18" ht="16.5">
      <c r="C2488" s="202"/>
      <c r="D2488" s="202"/>
      <c r="E2488" s="199"/>
      <c r="F2488" s="202"/>
      <c r="G2488" s="202"/>
      <c r="H2488" s="202"/>
      <c r="I2488" s="202"/>
      <c r="O2488" s="202"/>
      <c r="R2488" s="202"/>
    </row>
    <row r="2489" spans="3:18" ht="16.5">
      <c r="C2489" s="202"/>
      <c r="D2489" s="202"/>
      <c r="E2489" s="199"/>
      <c r="F2489" s="202"/>
      <c r="G2489" s="202"/>
      <c r="H2489" s="202"/>
      <c r="I2489" s="202"/>
      <c r="O2489" s="202"/>
      <c r="R2489" s="202"/>
    </row>
    <row r="2490" spans="3:18" ht="16.5">
      <c r="C2490" s="202"/>
      <c r="D2490" s="202"/>
      <c r="E2490" s="199"/>
      <c r="F2490" s="202"/>
      <c r="G2490" s="202"/>
      <c r="H2490" s="202"/>
      <c r="I2490" s="202"/>
      <c r="O2490" s="202"/>
      <c r="R2490" s="202"/>
    </row>
    <row r="2491" spans="3:18" ht="16.5">
      <c r="C2491" s="202"/>
      <c r="D2491" s="202"/>
      <c r="E2491" s="199"/>
      <c r="F2491" s="202"/>
      <c r="G2491" s="202"/>
      <c r="H2491" s="202"/>
      <c r="I2491" s="202"/>
      <c r="O2491" s="202"/>
      <c r="R2491" s="202"/>
    </row>
    <row r="2492" spans="3:18" ht="16.5">
      <c r="C2492" s="202"/>
      <c r="D2492" s="202"/>
      <c r="E2492" s="199"/>
      <c r="F2492" s="202"/>
      <c r="G2492" s="202"/>
      <c r="H2492" s="202"/>
      <c r="I2492" s="202"/>
      <c r="O2492" s="202"/>
      <c r="R2492" s="202"/>
    </row>
    <row r="2493" spans="3:18" ht="16.5">
      <c r="C2493" s="202"/>
      <c r="D2493" s="202"/>
      <c r="E2493" s="199"/>
      <c r="F2493" s="202"/>
      <c r="G2493" s="202"/>
      <c r="H2493" s="202"/>
      <c r="I2493" s="202"/>
      <c r="O2493" s="202"/>
      <c r="R2493" s="202"/>
    </row>
    <row r="2494" spans="3:18" ht="16.5">
      <c r="C2494" s="202"/>
      <c r="D2494" s="202"/>
      <c r="E2494" s="199"/>
      <c r="F2494" s="202"/>
      <c r="G2494" s="202"/>
      <c r="H2494" s="202"/>
      <c r="I2494" s="202"/>
      <c r="O2494" s="202"/>
      <c r="R2494" s="202"/>
    </row>
    <row r="2495" spans="3:18" ht="16.5">
      <c r="C2495" s="202"/>
      <c r="D2495" s="202"/>
      <c r="E2495" s="199"/>
      <c r="F2495" s="202"/>
      <c r="G2495" s="202"/>
      <c r="H2495" s="202"/>
      <c r="I2495" s="202"/>
      <c r="O2495" s="202"/>
      <c r="R2495" s="202"/>
    </row>
    <row r="2496" spans="3:18" ht="16.5">
      <c r="C2496" s="202"/>
      <c r="D2496" s="202"/>
      <c r="E2496" s="199"/>
      <c r="F2496" s="202"/>
      <c r="G2496" s="202"/>
      <c r="H2496" s="202"/>
      <c r="I2496" s="202"/>
      <c r="O2496" s="202"/>
      <c r="R2496" s="202"/>
    </row>
    <row r="2497" spans="3:18" ht="16.5">
      <c r="C2497" s="202"/>
      <c r="D2497" s="202"/>
      <c r="E2497" s="199"/>
      <c r="F2497" s="202"/>
      <c r="G2497" s="202"/>
      <c r="H2497" s="202"/>
      <c r="I2497" s="202"/>
      <c r="O2497" s="202"/>
      <c r="R2497" s="202"/>
    </row>
    <row r="2498" spans="3:18" ht="16.5">
      <c r="C2498" s="202"/>
      <c r="D2498" s="202"/>
      <c r="E2498" s="199"/>
      <c r="F2498" s="202"/>
      <c r="G2498" s="202"/>
      <c r="H2498" s="202"/>
      <c r="I2498" s="202"/>
      <c r="O2498" s="202"/>
      <c r="R2498" s="202"/>
    </row>
    <row r="2499" spans="3:18" ht="16.5">
      <c r="C2499" s="202"/>
      <c r="D2499" s="202"/>
      <c r="E2499" s="199"/>
      <c r="F2499" s="202"/>
      <c r="G2499" s="202"/>
      <c r="H2499" s="202"/>
      <c r="I2499" s="202"/>
      <c r="O2499" s="202"/>
      <c r="R2499" s="202"/>
    </row>
    <row r="2500" spans="3:18" ht="16.5">
      <c r="C2500" s="202"/>
      <c r="D2500" s="202"/>
      <c r="E2500" s="199"/>
      <c r="F2500" s="202"/>
      <c r="G2500" s="202"/>
      <c r="H2500" s="202"/>
      <c r="I2500" s="202"/>
      <c r="O2500" s="202"/>
      <c r="R2500" s="202"/>
    </row>
    <row r="2501" spans="3:18" ht="16.5">
      <c r="C2501" s="202"/>
      <c r="D2501" s="202"/>
      <c r="E2501" s="199"/>
      <c r="F2501" s="202"/>
      <c r="G2501" s="202"/>
      <c r="H2501" s="202"/>
      <c r="I2501" s="202"/>
      <c r="O2501" s="202"/>
      <c r="R2501" s="202"/>
    </row>
    <row r="2502" spans="3:18" ht="16.5">
      <c r="C2502" s="202"/>
      <c r="D2502" s="202"/>
      <c r="E2502" s="199"/>
      <c r="F2502" s="202"/>
      <c r="G2502" s="202"/>
      <c r="H2502" s="202"/>
      <c r="I2502" s="202"/>
      <c r="O2502" s="202"/>
      <c r="R2502" s="202"/>
    </row>
    <row r="2503" spans="3:18" ht="16.5">
      <c r="C2503" s="202"/>
      <c r="D2503" s="202"/>
      <c r="E2503" s="199"/>
      <c r="F2503" s="202"/>
      <c r="G2503" s="202"/>
      <c r="H2503" s="202"/>
      <c r="I2503" s="202"/>
      <c r="O2503" s="202"/>
      <c r="R2503" s="202"/>
    </row>
    <row r="2504" spans="3:18" ht="16.5">
      <c r="C2504" s="202"/>
      <c r="D2504" s="202"/>
      <c r="E2504" s="199"/>
      <c r="F2504" s="202"/>
      <c r="G2504" s="202"/>
      <c r="H2504" s="202"/>
      <c r="I2504" s="202"/>
      <c r="O2504" s="202"/>
      <c r="R2504" s="202"/>
    </row>
    <row r="2505" spans="3:18" ht="16.5">
      <c r="C2505" s="202"/>
      <c r="D2505" s="202"/>
      <c r="E2505" s="199"/>
      <c r="F2505" s="202"/>
      <c r="G2505" s="202"/>
      <c r="H2505" s="202"/>
      <c r="I2505" s="202"/>
      <c r="O2505" s="202"/>
      <c r="R2505" s="202"/>
    </row>
    <row r="2506" spans="3:18" ht="16.5">
      <c r="C2506" s="202"/>
      <c r="D2506" s="202"/>
      <c r="E2506" s="199"/>
      <c r="F2506" s="202"/>
      <c r="G2506" s="202"/>
      <c r="H2506" s="202"/>
      <c r="I2506" s="202"/>
      <c r="O2506" s="202"/>
      <c r="R2506" s="202"/>
    </row>
    <row r="2507" spans="3:18" ht="16.5">
      <c r="C2507" s="202"/>
      <c r="D2507" s="202"/>
      <c r="E2507" s="199"/>
      <c r="F2507" s="202"/>
      <c r="G2507" s="202"/>
      <c r="H2507" s="202"/>
      <c r="I2507" s="202"/>
      <c r="O2507" s="202"/>
      <c r="R2507" s="202"/>
    </row>
    <row r="2508" spans="3:18" ht="16.5">
      <c r="C2508" s="202"/>
      <c r="D2508" s="202"/>
      <c r="E2508" s="199"/>
      <c r="F2508" s="202"/>
      <c r="G2508" s="202"/>
      <c r="H2508" s="202"/>
      <c r="I2508" s="202"/>
      <c r="O2508" s="202"/>
      <c r="R2508" s="202"/>
    </row>
    <row r="2509" spans="3:18" ht="16.5">
      <c r="C2509" s="202"/>
      <c r="D2509" s="202"/>
      <c r="E2509" s="199"/>
      <c r="F2509" s="202"/>
      <c r="G2509" s="202"/>
      <c r="H2509" s="202"/>
      <c r="I2509" s="202"/>
      <c r="O2509" s="202"/>
      <c r="R2509" s="202"/>
    </row>
    <row r="2510" spans="3:18" ht="16.5">
      <c r="C2510" s="202"/>
      <c r="D2510" s="202"/>
      <c r="E2510" s="199"/>
      <c r="F2510" s="202"/>
      <c r="G2510" s="202"/>
      <c r="H2510" s="202"/>
      <c r="I2510" s="202"/>
      <c r="O2510" s="202"/>
      <c r="R2510" s="202"/>
    </row>
    <row r="2511" spans="3:18" ht="16.5">
      <c r="C2511" s="202"/>
      <c r="D2511" s="202"/>
      <c r="E2511" s="199"/>
      <c r="F2511" s="202"/>
      <c r="G2511" s="202"/>
      <c r="H2511" s="202"/>
      <c r="I2511" s="202"/>
      <c r="O2511" s="202"/>
      <c r="R2511" s="202"/>
    </row>
    <row r="2512" spans="3:18" ht="16.5">
      <c r="C2512" s="202"/>
      <c r="D2512" s="202"/>
      <c r="E2512" s="199"/>
      <c r="F2512" s="202"/>
      <c r="G2512" s="202"/>
      <c r="H2512" s="202"/>
      <c r="I2512" s="202"/>
      <c r="O2512" s="202"/>
      <c r="R2512" s="202"/>
    </row>
    <row r="2513" spans="3:18" ht="16.5">
      <c r="C2513" s="202"/>
      <c r="D2513" s="202"/>
      <c r="E2513" s="199"/>
      <c r="F2513" s="202"/>
      <c r="G2513" s="202"/>
      <c r="H2513" s="202"/>
      <c r="I2513" s="202"/>
      <c r="O2513" s="202"/>
      <c r="R2513" s="202"/>
    </row>
    <row r="2514" spans="3:18" ht="16.5">
      <c r="C2514" s="202"/>
      <c r="D2514" s="202"/>
      <c r="E2514" s="199"/>
      <c r="F2514" s="202"/>
      <c r="G2514" s="202"/>
      <c r="H2514" s="202"/>
      <c r="I2514" s="202"/>
      <c r="O2514" s="202"/>
      <c r="R2514" s="202"/>
    </row>
    <row r="2515" spans="3:18" ht="16.5">
      <c r="C2515" s="202"/>
      <c r="D2515" s="202"/>
      <c r="E2515" s="199"/>
      <c r="F2515" s="202"/>
      <c r="G2515" s="202"/>
      <c r="H2515" s="202"/>
      <c r="I2515" s="202"/>
      <c r="O2515" s="202"/>
      <c r="R2515" s="202"/>
    </row>
    <row r="2516" spans="3:18" ht="16.5">
      <c r="C2516" s="202"/>
      <c r="D2516" s="202"/>
      <c r="E2516" s="199"/>
      <c r="F2516" s="202"/>
      <c r="G2516" s="202"/>
      <c r="H2516" s="202"/>
      <c r="I2516" s="202"/>
      <c r="O2516" s="202"/>
      <c r="R2516" s="202"/>
    </row>
    <row r="2517" spans="3:18" ht="16.5">
      <c r="C2517" s="202"/>
      <c r="D2517" s="202"/>
      <c r="E2517" s="199"/>
      <c r="F2517" s="202"/>
      <c r="G2517" s="202"/>
      <c r="H2517" s="202"/>
      <c r="I2517" s="202"/>
      <c r="O2517" s="202"/>
      <c r="R2517" s="202"/>
    </row>
    <row r="2518" spans="3:18" ht="16.5">
      <c r="C2518" s="202"/>
      <c r="D2518" s="202"/>
      <c r="E2518" s="199"/>
      <c r="F2518" s="202"/>
      <c r="G2518" s="202"/>
      <c r="H2518" s="202"/>
      <c r="I2518" s="202"/>
      <c r="O2518" s="202"/>
      <c r="R2518" s="202"/>
    </row>
    <row r="2519" spans="3:18" ht="16.5">
      <c r="C2519" s="202"/>
      <c r="D2519" s="202"/>
      <c r="E2519" s="199"/>
      <c r="F2519" s="202"/>
      <c r="G2519" s="202"/>
      <c r="H2519" s="202"/>
      <c r="I2519" s="202"/>
      <c r="O2519" s="202"/>
      <c r="R2519" s="202"/>
    </row>
    <row r="2520" spans="3:18" ht="16.5">
      <c r="C2520" s="202"/>
      <c r="D2520" s="202"/>
      <c r="E2520" s="199"/>
      <c r="F2520" s="202"/>
      <c r="G2520" s="202"/>
      <c r="H2520" s="202"/>
      <c r="I2520" s="202"/>
      <c r="O2520" s="202"/>
      <c r="R2520" s="202"/>
    </row>
    <row r="2521" spans="3:18" ht="16.5">
      <c r="C2521" s="202"/>
      <c r="D2521" s="202"/>
      <c r="E2521" s="199"/>
      <c r="F2521" s="202"/>
      <c r="G2521" s="202"/>
      <c r="H2521" s="202"/>
      <c r="I2521" s="202"/>
      <c r="O2521" s="202"/>
      <c r="R2521" s="202"/>
    </row>
    <row r="2522" spans="3:18" ht="16.5">
      <c r="C2522" s="202"/>
      <c r="D2522" s="202"/>
      <c r="E2522" s="199"/>
      <c r="F2522" s="202"/>
      <c r="G2522" s="202"/>
      <c r="H2522" s="202"/>
      <c r="I2522" s="202"/>
      <c r="O2522" s="202"/>
      <c r="R2522" s="202"/>
    </row>
    <row r="2523" spans="3:18" ht="16.5">
      <c r="C2523" s="202"/>
      <c r="D2523" s="202"/>
      <c r="E2523" s="199"/>
      <c r="F2523" s="202"/>
      <c r="G2523" s="202"/>
      <c r="H2523" s="202"/>
      <c r="I2523" s="202"/>
      <c r="O2523" s="202"/>
      <c r="R2523" s="202"/>
    </row>
    <row r="2524" spans="3:18" ht="16.5">
      <c r="C2524" s="202"/>
      <c r="D2524" s="202"/>
      <c r="E2524" s="199"/>
      <c r="F2524" s="202"/>
      <c r="G2524" s="202"/>
      <c r="H2524" s="202"/>
      <c r="I2524" s="202"/>
      <c r="O2524" s="202"/>
      <c r="R2524" s="202"/>
    </row>
    <row r="2525" spans="3:18" ht="16.5">
      <c r="C2525" s="202"/>
      <c r="D2525" s="202"/>
      <c r="E2525" s="199"/>
      <c r="F2525" s="202"/>
      <c r="G2525" s="202"/>
      <c r="H2525" s="202"/>
      <c r="I2525" s="202"/>
      <c r="O2525" s="202"/>
      <c r="R2525" s="202"/>
    </row>
    <row r="2526" spans="3:18" ht="16.5">
      <c r="C2526" s="202"/>
      <c r="D2526" s="202"/>
      <c r="E2526" s="199"/>
      <c r="F2526" s="202"/>
      <c r="G2526" s="202"/>
      <c r="H2526" s="202"/>
      <c r="I2526" s="202"/>
      <c r="O2526" s="202"/>
      <c r="R2526" s="202"/>
    </row>
    <row r="2527" spans="3:18" ht="16.5">
      <c r="C2527" s="202"/>
      <c r="D2527" s="202"/>
      <c r="E2527" s="199"/>
      <c r="F2527" s="202"/>
      <c r="G2527" s="202"/>
      <c r="H2527" s="202"/>
      <c r="I2527" s="202"/>
      <c r="O2527" s="202"/>
      <c r="R2527" s="202"/>
    </row>
    <row r="2528" spans="3:18" ht="16.5">
      <c r="C2528" s="202"/>
      <c r="D2528" s="202"/>
      <c r="E2528" s="199"/>
      <c r="F2528" s="202"/>
      <c r="G2528" s="202"/>
      <c r="H2528" s="202"/>
      <c r="I2528" s="202"/>
      <c r="O2528" s="202"/>
      <c r="R2528" s="202"/>
    </row>
    <row r="2529" spans="3:18" ht="16.5">
      <c r="C2529" s="202"/>
      <c r="D2529" s="202"/>
      <c r="E2529" s="199"/>
      <c r="F2529" s="202"/>
      <c r="G2529" s="202"/>
      <c r="H2529" s="202"/>
      <c r="I2529" s="202"/>
      <c r="O2529" s="202"/>
      <c r="R2529" s="202"/>
    </row>
    <row r="2530" spans="3:18" ht="16.5">
      <c r="C2530" s="202"/>
      <c r="D2530" s="202"/>
      <c r="E2530" s="199"/>
      <c r="F2530" s="202"/>
      <c r="G2530" s="202"/>
      <c r="H2530" s="202"/>
      <c r="I2530" s="202"/>
      <c r="O2530" s="202"/>
      <c r="R2530" s="202"/>
    </row>
    <row r="2531" spans="3:18" ht="16.5">
      <c r="C2531" s="202"/>
      <c r="D2531" s="202"/>
      <c r="E2531" s="199"/>
      <c r="F2531" s="202"/>
      <c r="G2531" s="202"/>
      <c r="H2531" s="202"/>
      <c r="I2531" s="202"/>
      <c r="O2531" s="202"/>
      <c r="R2531" s="202"/>
    </row>
    <row r="2532" spans="3:18" ht="16.5">
      <c r="C2532" s="202"/>
      <c r="D2532" s="202"/>
      <c r="E2532" s="199"/>
      <c r="F2532" s="202"/>
      <c r="G2532" s="202"/>
      <c r="H2532" s="202"/>
      <c r="I2532" s="202"/>
      <c r="O2532" s="202"/>
      <c r="R2532" s="202"/>
    </row>
    <row r="2533" spans="3:18" ht="16.5">
      <c r="C2533" s="202"/>
      <c r="D2533" s="202"/>
      <c r="E2533" s="199"/>
      <c r="F2533" s="202"/>
      <c r="G2533" s="202"/>
      <c r="H2533" s="202"/>
      <c r="I2533" s="202"/>
      <c r="O2533" s="202"/>
      <c r="R2533" s="202"/>
    </row>
    <row r="2534" spans="3:18" ht="16.5">
      <c r="C2534" s="202"/>
      <c r="D2534" s="202"/>
      <c r="E2534" s="199"/>
      <c r="F2534" s="202"/>
      <c r="G2534" s="202"/>
      <c r="H2534" s="202"/>
      <c r="I2534" s="202"/>
      <c r="O2534" s="202"/>
      <c r="R2534" s="202"/>
    </row>
    <row r="2535" spans="3:18" ht="16.5">
      <c r="C2535" s="202"/>
      <c r="D2535" s="202"/>
      <c r="E2535" s="199"/>
      <c r="F2535" s="202"/>
      <c r="G2535" s="202"/>
      <c r="H2535" s="202"/>
      <c r="I2535" s="202"/>
      <c r="O2535" s="202"/>
      <c r="R2535" s="202"/>
    </row>
    <row r="2536" spans="3:18" ht="16.5">
      <c r="C2536" s="202"/>
      <c r="D2536" s="202"/>
      <c r="E2536" s="199"/>
      <c r="F2536" s="202"/>
      <c r="G2536" s="202"/>
      <c r="H2536" s="202"/>
      <c r="I2536" s="202"/>
      <c r="O2536" s="202"/>
      <c r="R2536" s="202"/>
    </row>
    <row r="2537" spans="3:18" ht="16.5">
      <c r="C2537" s="202"/>
      <c r="D2537" s="202"/>
      <c r="E2537" s="199"/>
      <c r="F2537" s="202"/>
      <c r="G2537" s="202"/>
      <c r="H2537" s="202"/>
      <c r="I2537" s="202"/>
      <c r="O2537" s="202"/>
      <c r="R2537" s="202"/>
    </row>
    <row r="2538" spans="3:18" ht="16.5">
      <c r="C2538" s="202"/>
      <c r="D2538" s="202"/>
      <c r="E2538" s="199"/>
      <c r="F2538" s="202"/>
      <c r="G2538" s="202"/>
      <c r="H2538" s="202"/>
      <c r="I2538" s="202"/>
      <c r="O2538" s="202"/>
      <c r="R2538" s="202"/>
    </row>
    <row r="2539" spans="3:18" ht="16.5">
      <c r="C2539" s="202"/>
      <c r="D2539" s="202"/>
      <c r="E2539" s="199"/>
      <c r="F2539" s="202"/>
      <c r="G2539" s="202"/>
      <c r="H2539" s="202"/>
      <c r="I2539" s="202"/>
      <c r="O2539" s="202"/>
      <c r="R2539" s="202"/>
    </row>
    <row r="2540" spans="3:18" ht="16.5">
      <c r="C2540" s="202"/>
      <c r="D2540" s="202"/>
      <c r="E2540" s="199"/>
      <c r="F2540" s="202"/>
      <c r="G2540" s="202"/>
      <c r="H2540" s="202"/>
      <c r="I2540" s="202"/>
      <c r="O2540" s="202"/>
      <c r="R2540" s="202"/>
    </row>
    <row r="2541" spans="3:18" ht="16.5">
      <c r="C2541" s="202"/>
      <c r="D2541" s="202"/>
      <c r="E2541" s="199"/>
      <c r="F2541" s="202"/>
      <c r="G2541" s="202"/>
      <c r="H2541" s="202"/>
      <c r="I2541" s="202"/>
      <c r="O2541" s="202"/>
      <c r="R2541" s="202"/>
    </row>
    <row r="2542" spans="3:18" ht="16.5">
      <c r="C2542" s="202"/>
      <c r="D2542" s="202"/>
      <c r="E2542" s="199"/>
      <c r="F2542" s="202"/>
      <c r="G2542" s="202"/>
      <c r="H2542" s="202"/>
      <c r="I2542" s="202"/>
      <c r="O2542" s="202"/>
      <c r="R2542" s="202"/>
    </row>
    <row r="2543" spans="3:18" ht="16.5">
      <c r="C2543" s="202"/>
      <c r="D2543" s="202"/>
      <c r="E2543" s="199"/>
      <c r="F2543" s="202"/>
      <c r="G2543" s="202"/>
      <c r="H2543" s="202"/>
      <c r="I2543" s="202"/>
      <c r="O2543" s="202"/>
      <c r="R2543" s="202"/>
    </row>
    <row r="2544" spans="3:18" ht="16.5">
      <c r="C2544" s="202"/>
      <c r="D2544" s="202"/>
      <c r="E2544" s="199"/>
      <c r="F2544" s="202"/>
      <c r="G2544" s="202"/>
      <c r="H2544" s="202"/>
      <c r="I2544" s="202"/>
      <c r="O2544" s="202"/>
      <c r="R2544" s="202"/>
    </row>
    <row r="2545" spans="3:18" ht="16.5">
      <c r="C2545" s="202"/>
      <c r="D2545" s="202"/>
      <c r="E2545" s="199"/>
      <c r="F2545" s="202"/>
      <c r="G2545" s="202"/>
      <c r="H2545" s="202"/>
      <c r="I2545" s="202"/>
      <c r="O2545" s="202"/>
      <c r="R2545" s="202"/>
    </row>
    <row r="2546" spans="3:18" ht="16.5">
      <c r="C2546" s="202"/>
      <c r="D2546" s="202"/>
      <c r="E2546" s="199"/>
      <c r="F2546" s="202"/>
      <c r="G2546" s="202"/>
      <c r="H2546" s="202"/>
      <c r="I2546" s="202"/>
      <c r="O2546" s="202"/>
      <c r="R2546" s="202"/>
    </row>
    <row r="2547" spans="3:18" ht="16.5">
      <c r="C2547" s="202"/>
      <c r="D2547" s="202"/>
      <c r="E2547" s="199"/>
      <c r="F2547" s="202"/>
      <c r="G2547" s="202"/>
      <c r="H2547" s="202"/>
      <c r="I2547" s="202"/>
      <c r="O2547" s="202"/>
      <c r="R2547" s="202"/>
    </row>
    <row r="2548" spans="3:18" ht="16.5">
      <c r="C2548" s="202"/>
      <c r="D2548" s="202"/>
      <c r="E2548" s="199"/>
      <c r="F2548" s="202"/>
      <c r="G2548" s="202"/>
      <c r="H2548" s="202"/>
      <c r="I2548" s="202"/>
      <c r="O2548" s="202"/>
      <c r="R2548" s="202"/>
    </row>
    <row r="2549" spans="3:18" ht="16.5">
      <c r="C2549" s="202"/>
      <c r="D2549" s="202"/>
      <c r="E2549" s="199"/>
      <c r="F2549" s="202"/>
      <c r="G2549" s="202"/>
      <c r="H2549" s="202"/>
      <c r="I2549" s="202"/>
      <c r="O2549" s="202"/>
      <c r="R2549" s="202"/>
    </row>
    <row r="2550" spans="3:18" ht="16.5">
      <c r="C2550" s="202"/>
      <c r="D2550" s="202"/>
      <c r="E2550" s="199"/>
      <c r="F2550" s="202"/>
      <c r="G2550" s="202"/>
      <c r="H2550" s="202"/>
      <c r="I2550" s="202"/>
      <c r="O2550" s="202"/>
      <c r="R2550" s="202"/>
    </row>
    <row r="2551" spans="3:18" ht="16.5">
      <c r="C2551" s="202"/>
      <c r="D2551" s="202"/>
      <c r="E2551" s="199"/>
      <c r="F2551" s="202"/>
      <c r="G2551" s="202"/>
      <c r="H2551" s="202"/>
      <c r="I2551" s="202"/>
      <c r="O2551" s="202"/>
      <c r="R2551" s="202"/>
    </row>
    <row r="2552" spans="3:18" ht="16.5">
      <c r="C2552" s="202"/>
      <c r="D2552" s="202"/>
      <c r="E2552" s="199"/>
      <c r="F2552" s="202"/>
      <c r="G2552" s="202"/>
      <c r="H2552" s="202"/>
      <c r="I2552" s="202"/>
      <c r="O2552" s="202"/>
      <c r="R2552" s="202"/>
    </row>
    <row r="2553" spans="3:18" ht="16.5">
      <c r="C2553" s="202"/>
      <c r="D2553" s="202"/>
      <c r="E2553" s="199"/>
      <c r="F2553" s="202"/>
      <c r="G2553" s="202"/>
      <c r="H2553" s="202"/>
      <c r="I2553" s="202"/>
      <c r="O2553" s="202"/>
      <c r="R2553" s="202"/>
    </row>
    <row r="2554" spans="3:18" ht="16.5">
      <c r="C2554" s="202"/>
      <c r="D2554" s="202"/>
      <c r="E2554" s="199"/>
      <c r="F2554" s="202"/>
      <c r="G2554" s="202"/>
      <c r="H2554" s="202"/>
      <c r="I2554" s="202"/>
      <c r="O2554" s="202"/>
      <c r="R2554" s="202"/>
    </row>
    <row r="2555" spans="3:18" ht="16.5">
      <c r="C2555" s="202"/>
      <c r="D2555" s="202"/>
      <c r="E2555" s="199"/>
      <c r="F2555" s="202"/>
      <c r="G2555" s="202"/>
      <c r="H2555" s="202"/>
      <c r="I2555" s="202"/>
      <c r="O2555" s="202"/>
      <c r="R2555" s="202"/>
    </row>
    <row r="2556" spans="3:18" ht="16.5">
      <c r="C2556" s="202"/>
      <c r="D2556" s="202"/>
      <c r="E2556" s="199"/>
      <c r="F2556" s="202"/>
      <c r="G2556" s="202"/>
      <c r="H2556" s="202"/>
      <c r="I2556" s="202"/>
      <c r="O2556" s="202"/>
      <c r="R2556" s="202"/>
    </row>
    <row r="2557" spans="3:18" ht="16.5">
      <c r="C2557" s="202"/>
      <c r="D2557" s="202"/>
      <c r="E2557" s="199"/>
      <c r="F2557" s="202"/>
      <c r="G2557" s="202"/>
      <c r="H2557" s="202"/>
      <c r="I2557" s="202"/>
      <c r="O2557" s="202"/>
      <c r="R2557" s="202"/>
    </row>
    <row r="2558" spans="3:18" ht="16.5">
      <c r="C2558" s="202"/>
      <c r="D2558" s="202"/>
      <c r="E2558" s="199"/>
      <c r="F2558" s="202"/>
      <c r="G2558" s="202"/>
      <c r="H2558" s="202"/>
      <c r="I2558" s="202"/>
      <c r="O2558" s="202"/>
      <c r="R2558" s="202"/>
    </row>
    <row r="2559" spans="3:18" ht="16.5">
      <c r="C2559" s="202"/>
      <c r="D2559" s="202"/>
      <c r="E2559" s="199"/>
      <c r="F2559" s="202"/>
      <c r="G2559" s="202"/>
      <c r="H2559" s="202"/>
      <c r="I2559" s="202"/>
      <c r="O2559" s="202"/>
      <c r="R2559" s="202"/>
    </row>
  </sheetData>
  <mergeCells count="1">
    <mergeCell ref="A1:N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2014-03-28T12:53:55Z</dcterms:modified>
</cp:coreProperties>
</file>